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ate1904="1" codeName="DieseArbeitsmappe"/>
  <mc:AlternateContent xmlns:mc="http://schemas.openxmlformats.org/markup-compatibility/2006">
    <mc:Choice Requires="x15">
      <x15ac:absPath xmlns:x15ac="http://schemas.microsoft.com/office/spreadsheetml/2010/11/ac" url="R:\avs_neu\02 DL-öffentlich\08 Projekte-KB\0_abgeschlossene Projekte\Berufsauftrag\TP3_Instrumente\Instrumente\Instrumente 26_27\"/>
    </mc:Choice>
  </mc:AlternateContent>
  <xr:revisionPtr revIDLastSave="0" documentId="13_ncr:1_{893AD766-CA97-4D28-97F9-F345907923E3}" xr6:coauthVersionLast="47" xr6:coauthVersionMax="47" xr10:uidLastSave="{00000000-0000-0000-0000-000000000000}"/>
  <bookViews>
    <workbookView xWindow="28680" yWindow="-120" windowWidth="29040" windowHeight="16440" tabRatio="851" firstSheet="3" activeTab="3" xr2:uid="{00000000-000D-0000-FFFF-FFFF00000000}"/>
  </bookViews>
  <sheets>
    <sheet name="Dropdowns" sheetId="649" state="veryHidden" r:id="rId1"/>
    <sheet name="Grundlagen" sheetId="650" state="veryHidden" r:id="rId2"/>
    <sheet name="Berechnungen BA" sheetId="648" state="veryHidden" r:id="rId3"/>
    <sheet name="Aufgabenplanung" sheetId="647" r:id="rId4"/>
  </sheets>
  <definedNames>
    <definedName name="AA_Heutiges_Datum">OFFSET(#REF!,MATCH(TODAY(),#REF!,0),0,1,1)</definedName>
    <definedName name="AA_Heutiges_Datum_2">#REF!</definedName>
    <definedName name="AproLektion">#REF!</definedName>
    <definedName name="BA_CDE1">Aufgabenplanung!$A$36</definedName>
    <definedName name="BA_CDE10">Aufgabenplanung!$A$45</definedName>
    <definedName name="BA_CDE11">Aufgabenplanung!$A$59</definedName>
    <definedName name="BA_CDE12">Aufgabenplanung!$A$60</definedName>
    <definedName name="BA_CDE13">Aufgabenplanung!$A$61</definedName>
    <definedName name="BA_CDE14">Aufgabenplanung!$A$62</definedName>
    <definedName name="BA_CDE15">Aufgabenplanung!$A$63</definedName>
    <definedName name="BA_CDE2">Aufgabenplanung!$A$37</definedName>
    <definedName name="BA_CDE3">Aufgabenplanung!$A$38</definedName>
    <definedName name="BA_CDE4">Aufgabenplanung!$A$39</definedName>
    <definedName name="BA_CDE5">Aufgabenplanung!$A$40</definedName>
    <definedName name="BA_CDE6">Aufgabenplanung!$A$41</definedName>
    <definedName name="BA_CDE7">Aufgabenplanung!$A$42</definedName>
    <definedName name="BA_CDE8">Aufgabenplanung!$A$43</definedName>
    <definedName name="BA_CDE9">Aufgabenplanung!$A$44</definedName>
    <definedName name="BA_EA1">Aufgabenplanung!$A$73</definedName>
    <definedName name="BA_EA2">Aufgabenplanung!$A$74</definedName>
    <definedName name="BA_EA3">Aufgabenplanung!$A$75</definedName>
    <definedName name="BA_EA4">Aufgabenplanung!$A$76</definedName>
    <definedName name="BA_EA5">Aufgabenplanung!$A$80</definedName>
    <definedName name="BA_EA6">Aufgabenplanung!$A$81</definedName>
    <definedName name="BproLektion">#REF!</definedName>
    <definedName name="CDEZeit">#REF!</definedName>
    <definedName name="Data_Feiertage">Grundlagen!$T:$T</definedName>
    <definedName name="Data_Feiertage_halb">Grundlagen!$X:$X</definedName>
    <definedName name="Data_Schulferien">Grundlagen!$Q:$Q</definedName>
    <definedName name="DD_Bereich_C">Dropdowns!$A$2:$A$12</definedName>
    <definedName name="DD_Bereich_C_MS">Dropdowns!$B$2:$B$12</definedName>
    <definedName name="DD_Schulstufen">Dropdowns!$J$2:$J$8</definedName>
    <definedName name="_xlnm.Print_Area" localSheetId="3">Aufgabenplanung!$A$1:$C$91</definedName>
    <definedName name="EA1_Gym">Dropdowns!$E$2:$E$6</definedName>
    <definedName name="EA1_KG">Dropdowns!$L$2:$L$5</definedName>
    <definedName name="EA1_PS">Dropdowns!$C$2:$C$6</definedName>
    <definedName name="EA1_SekI">Dropdowns!$D$2:$D$8</definedName>
    <definedName name="EA1_SekII">Dropdowns!$E$2:$E$4</definedName>
    <definedName name="EA1_SekII_BFS">Dropdowns!$F$2:$F$5</definedName>
    <definedName name="F1_start">#REF!</definedName>
    <definedName name="F1_stop">#REF!</definedName>
    <definedName name="F2_start">#REF!</definedName>
    <definedName name="F2_stop">#REF!</definedName>
    <definedName name="F3_start">#REF!</definedName>
    <definedName name="F3_stop">#REF!</definedName>
    <definedName name="F4_start">#REF!</definedName>
    <definedName name="F4_stop">#REF!</definedName>
    <definedName name="F5_start">#REF!</definedName>
    <definedName name="F5_stop">#REF!</definedName>
    <definedName name="Feiertage">#REF!</definedName>
    <definedName name="FeiertageHalb">#REF!</definedName>
    <definedName name="FH">Grundlagen!$AR$4:$AR$10</definedName>
    <definedName name="FT">Grundlagen!$AQ$4:$AQ$4</definedName>
    <definedName name="Geburtstag">#REF!</definedName>
    <definedName name="Jahr">#REF!</definedName>
    <definedName name="Jahreslektion">'Berechnungen BA'!$B$23</definedName>
    <definedName name="Jahreslektion_EA">'Berechnungen BA'!$B$24</definedName>
    <definedName name="KorrLekt">#REF!</definedName>
    <definedName name="KorrLektAnz">#REF!</definedName>
    <definedName name="KorrUW">#REF!</definedName>
    <definedName name="manu_auto">IF(COUNTIFS(#REF!,"automatisch")=2,Dropdowns!$K$2,Dropdowns!$K$2:$K$3)</definedName>
    <definedName name="Monate">#REF!</definedName>
    <definedName name="Nachname">#REF!</definedName>
    <definedName name="NR">Grundlagen!$AO$4:$AO$8</definedName>
    <definedName name="Param1">Grundlagen!$AM$3</definedName>
    <definedName name="Param10">Grundlagen!$AM$12</definedName>
    <definedName name="Param2">Grundlagen!$AM$4</definedName>
    <definedName name="Param3">Grundlagen!$AM$5</definedName>
    <definedName name="Param4">Grundlagen!$AM$6</definedName>
    <definedName name="Param5">Grundlagen!$AM$7</definedName>
    <definedName name="Param6">Grundlagen!$AM$8</definedName>
    <definedName name="Param7">Grundlagen!$AM$9</definedName>
    <definedName name="Param8">Grundlagen!$AM$10</definedName>
    <definedName name="Param9">Grundlagen!$AM$11</definedName>
    <definedName name="Pensum">#REF!</definedName>
    <definedName name="Schuljahr">Grundlagen!$B$2</definedName>
    <definedName name="Schuljahre">Grundlagen!$B$2:$B$4</definedName>
    <definedName name="Sem1_start">#REF!</definedName>
    <definedName name="Sem1_stop">#REF!</definedName>
    <definedName name="Sem2_start">#REF!</definedName>
    <definedName name="Sem2_stop">#REF!</definedName>
    <definedName name="Sem2_wt2">#REF!</definedName>
    <definedName name="Sem2_wt3">#REF!</definedName>
    <definedName name="Sem2_wt4">#REF!</definedName>
    <definedName name="Sem2_wt5">#REF!</definedName>
    <definedName name="Sem2_wt6">#REF!</definedName>
    <definedName name="SF">Grundlagen!$AS$4:$AS$8</definedName>
    <definedName name="Soll_Arbeitszeit_23_24">Grundlagen!$N$1:$O$13</definedName>
    <definedName name="SollJAZ">#REF!</definedName>
    <definedName name="SollJAZCalc">#REF!</definedName>
    <definedName name="Stufe1">#REF!</definedName>
    <definedName name="Stufe2">#REF!</definedName>
    <definedName name="Stufe3">#REF!</definedName>
    <definedName name="Stufe4">#REF!</definedName>
    <definedName name="Stufe5">#REF!</definedName>
    <definedName name="Stufe6">#REF!</definedName>
    <definedName name="Stufe7">#REF!</definedName>
    <definedName name="Stufe8">#REF!</definedName>
    <definedName name="U_start">#REF!</definedName>
    <definedName name="U_stop">#REF!</definedName>
    <definedName name="Ueb_CDE1">#REF!</definedName>
    <definedName name="Ueb_CDE10">#REF!</definedName>
    <definedName name="Ueb_CDE11">#REF!</definedName>
    <definedName name="Ueb_CDE12">#REF!</definedName>
    <definedName name="Ueb_CDE13">#REF!</definedName>
    <definedName name="Ueb_CDE14">#REF!</definedName>
    <definedName name="Ueb_CDE15">#REF!</definedName>
    <definedName name="Ueb_CDE2">#REF!</definedName>
    <definedName name="Ueb_CDE3">#REF!</definedName>
    <definedName name="Ueb_CDE4">#REF!</definedName>
    <definedName name="Ueb_CDE5">#REF!</definedName>
    <definedName name="Ueb_CDE6">#REF!</definedName>
    <definedName name="Ueb_CDE7">#REF!</definedName>
    <definedName name="Ueb_CDE8">#REF!</definedName>
    <definedName name="Ueb_CDE9">#REF!</definedName>
    <definedName name="Ueb_EA1">#REF!</definedName>
    <definedName name="Ueb_EA2">#REF!</definedName>
    <definedName name="Ueb_EA3">#REF!</definedName>
    <definedName name="Ueb_EA4">#REF!</definedName>
    <definedName name="Ueb_EA5">#REF!</definedName>
    <definedName name="Ueb_EA6">#REF!</definedName>
    <definedName name="Unterrichtsfrei">#REF!</definedName>
    <definedName name="UTageSem1">#REF!</definedName>
    <definedName name="UU">Grundlagen!$AT$4</definedName>
    <definedName name="UU1_start">#REF!</definedName>
    <definedName name="UU1_stop">#REF!</definedName>
    <definedName name="UU2_start">#REF!</definedName>
    <definedName name="UU2_stop">#REF!</definedName>
    <definedName name="UU3_start">#REF!</definedName>
    <definedName name="UU3_stop">#REF!</definedName>
    <definedName name="VE_B">#REF!</definedName>
    <definedName name="VE_CDE">#REF!</definedName>
    <definedName name="VE_EA">#REF!</definedName>
    <definedName name="Vorname">#REF!</definedName>
    <definedName name="Vorsaldo">#REF!</definedName>
    <definedName name="VorsaldoFerien">#REF!</definedName>
    <definedName name="WE">Grundlagen!$AP$4:$AP$4</definedName>
    <definedName name="ZE_Auswahl_Monat">#REF!</definedName>
    <definedName name="ZE_B_auto">#REF!</definedName>
    <definedName name="ZE_B_manu">#REF!</definedName>
    <definedName name="ZE_CDE1">#REF!</definedName>
    <definedName name="ZE_CDE10">#REF!</definedName>
    <definedName name="ZE_CDE11">#REF!</definedName>
    <definedName name="ZE_CDE12">#REF!</definedName>
    <definedName name="ZE_CDE13">#REF!</definedName>
    <definedName name="ZE_CDE14">#REF!</definedName>
    <definedName name="ZE_CDE15">#REF!</definedName>
    <definedName name="ZE_CDE2">#REF!</definedName>
    <definedName name="ZE_CDE3">#REF!</definedName>
    <definedName name="ZE_CDE4">#REF!</definedName>
    <definedName name="ZE_CDE5">#REF!</definedName>
    <definedName name="ZE_CDE6">#REF!</definedName>
    <definedName name="ZE_CDE7">#REF!</definedName>
    <definedName name="ZE_CDE8">#REF!</definedName>
    <definedName name="ZE_CDE9">#REF!</definedName>
    <definedName name="ZE_EA1">#REF!</definedName>
    <definedName name="ZE_EA2">#REF!</definedName>
    <definedName name="ZE_EA3">#REF!</definedName>
    <definedName name="ZE_EA4">#REF!</definedName>
    <definedName name="ZE_EA5">#REF!</definedName>
    <definedName name="ZE_EA6">#REF!</definedName>
    <definedName name="Zus">#REF!</definedName>
  </definedNames>
  <calcPr calcId="191029" concurrentManualCount="1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6" i="647" l="1"/>
  <c r="B14" i="647" l="1"/>
  <c r="B17" i="647"/>
  <c r="B73" i="647"/>
  <c r="B11" i="648"/>
  <c r="J27" i="648" l="1"/>
  <c r="B10" i="648"/>
  <c r="E4" i="647" l="1"/>
  <c r="B25" i="647" s="1"/>
  <c r="C29" i="647" l="1"/>
  <c r="C27" i="647"/>
  <c r="C28" i="647"/>
  <c r="E7" i="647"/>
  <c r="E6" i="647"/>
  <c r="E5" i="647"/>
  <c r="F3" i="647" l="1" a="1"/>
  <c r="F3" i="647" s="1"/>
  <c r="D26" i="647" s="1"/>
  <c r="H3" i="647" a="1"/>
  <c r="H3" i="647" s="1"/>
  <c r="D28" i="647" s="1"/>
  <c r="G3" i="647" a="1"/>
  <c r="G3" i="647" s="1"/>
  <c r="D27" i="647" s="1"/>
  <c r="B9" i="648"/>
  <c r="I10" i="648" l="1"/>
  <c r="I9" i="648"/>
  <c r="I5" i="648"/>
  <c r="I4" i="648"/>
  <c r="A31" i="647" l="1"/>
  <c r="B15" i="647"/>
  <c r="B3" i="648"/>
  <c r="B2" i="648"/>
  <c r="B7" i="648" l="1"/>
  <c r="A17" i="647"/>
  <c r="F9" i="648"/>
  <c r="E9" i="648"/>
  <c r="D9" i="648"/>
  <c r="C9" i="648"/>
  <c r="C26" i="647"/>
  <c r="B16" i="647"/>
  <c r="C11" i="648" l="1"/>
  <c r="B14" i="648"/>
  <c r="B16" i="648"/>
  <c r="A31" i="648"/>
  <c r="D11" i="648"/>
  <c r="A32" i="648"/>
  <c r="E11" i="648"/>
  <c r="A33" i="648"/>
  <c r="F11" i="648"/>
  <c r="A30" i="648"/>
  <c r="C10" i="648"/>
  <c r="N30" i="648" s="1"/>
  <c r="D10" i="648"/>
  <c r="F10" i="648"/>
  <c r="L33" i="648" s="1"/>
  <c r="E10" i="648"/>
  <c r="L32" i="648" s="1"/>
  <c r="B20" i="647"/>
  <c r="B4" i="648"/>
  <c r="B24" i="648" l="1"/>
  <c r="D73" i="647" s="1"/>
  <c r="D74" i="647" s="1"/>
  <c r="D75" i="647" s="1"/>
  <c r="D76" i="647" s="1"/>
  <c r="D80" i="647" s="1"/>
  <c r="D81" i="647" s="1"/>
  <c r="D14" i="648"/>
  <c r="L31" i="648"/>
  <c r="C14" i="648"/>
  <c r="L30" i="648"/>
  <c r="N33" i="648"/>
  <c r="N31" i="648"/>
  <c r="N32" i="648"/>
  <c r="B29" i="647"/>
  <c r="G32" i="648"/>
  <c r="E14" i="648"/>
  <c r="G33" i="648"/>
  <c r="F14" i="648"/>
  <c r="A42" i="648"/>
  <c r="B23" i="648"/>
  <c r="B56" i="647" s="1" a="1"/>
  <c r="B56" i="647" s="1"/>
  <c r="G31" i="648"/>
  <c r="C16" i="648"/>
  <c r="B8" i="648"/>
  <c r="C20" i="648" s="1"/>
  <c r="G30" i="648"/>
  <c r="G27" i="648"/>
  <c r="G29" i="648"/>
  <c r="G28" i="648"/>
  <c r="F16" i="648"/>
  <c r="E16" i="648"/>
  <c r="D16" i="648"/>
  <c r="B15" i="648"/>
  <c r="B17" i="648" s="1"/>
  <c r="C15" i="648" l="1"/>
  <c r="C17" i="648" s="1"/>
  <c r="B30" i="648" s="1"/>
  <c r="F15" i="648"/>
  <c r="F17" i="648" s="1"/>
  <c r="B33" i="648" s="1"/>
  <c r="E20" i="648"/>
  <c r="F20" i="648"/>
  <c r="F21" i="648" s="1"/>
  <c r="D20" i="648"/>
  <c r="D21" i="648" s="1"/>
  <c r="C21" i="648"/>
  <c r="E15" i="648"/>
  <c r="E17" i="648" s="1"/>
  <c r="B32" i="648" s="1"/>
  <c r="D15" i="648"/>
  <c r="D17" i="648" s="1"/>
  <c r="B31" i="648" s="1"/>
  <c r="B64" i="647" a="1"/>
  <c r="B64" i="647" s="1"/>
  <c r="A58" i="647"/>
  <c r="B77" i="647" a="1"/>
  <c r="B77" i="647" s="1"/>
  <c r="B82" i="647" a="1"/>
  <c r="B82" i="647" s="1"/>
  <c r="C31" i="648" l="1"/>
  <c r="C33" i="648"/>
  <c r="C30" i="648"/>
  <c r="C32" i="648"/>
  <c r="B29" i="648"/>
  <c r="B66" i="647"/>
  <c r="C66" i="647" s="1"/>
  <c r="C36" i="648"/>
  <c r="E21" i="648"/>
  <c r="B85" i="647"/>
  <c r="B87" i="647" s="1"/>
  <c r="B36" i="648" l="1"/>
  <c r="C29" i="648"/>
  <c r="E42" i="648" s="1"/>
  <c r="C85" i="647"/>
  <c r="C87" i="647" s="1"/>
  <c r="A86" i="647" l="1"/>
  <c r="B31" i="647" l="1"/>
  <c r="D36" i="647" l="1"/>
  <c r="D37" i="647" s="1"/>
  <c r="D38" i="647" s="1"/>
  <c r="D39" i="647" s="1"/>
  <c r="D40" i="647" s="1"/>
  <c r="D41" i="647" s="1"/>
  <c r="D42" i="647" s="1"/>
  <c r="D43" i="647" s="1"/>
  <c r="D44" i="647" s="1"/>
  <c r="D45" i="647" s="1"/>
  <c r="D46" i="647" s="1"/>
  <c r="D47" i="647" s="1"/>
  <c r="D48" i="647" s="1"/>
  <c r="D49" i="647" s="1"/>
  <c r="D50" i="647" s="1"/>
  <c r="D51" i="647" s="1"/>
  <c r="D52" i="647" s="1"/>
  <c r="D53" i="647" s="1"/>
  <c r="D54" i="647" s="1"/>
  <c r="D55" i="647" s="1"/>
  <c r="D59" i="647" s="1"/>
  <c r="D60" i="647" s="1"/>
  <c r="D61" i="647" s="1"/>
  <c r="D62" i="647" s="1"/>
  <c r="D63" i="647" s="1"/>
  <c r="C31" i="647"/>
  <c r="B5" i="648" l="1"/>
  <c r="B12" i="648" l="1"/>
  <c r="B13" i="648" s="1"/>
  <c r="F12" i="648"/>
  <c r="F13" i="648" s="1"/>
  <c r="F18" i="648" s="1"/>
  <c r="F19" i="648" s="1"/>
  <c r="E12" i="648"/>
  <c r="E13" i="648" s="1"/>
  <c r="E18" i="648" s="1"/>
  <c r="E19" i="648" s="1"/>
  <c r="C12" i="648"/>
  <c r="C13" i="648" s="1"/>
  <c r="C18" i="648" s="1"/>
  <c r="C19" i="648" s="1"/>
  <c r="D12" i="648"/>
  <c r="D13" i="648" s="1"/>
  <c r="D18" i="648" s="1"/>
  <c r="D19" i="648" s="1"/>
  <c r="B18" i="648" l="1"/>
  <c r="B27" i="648"/>
  <c r="C27" i="648" s="1"/>
  <c r="C42" i="648" l="1"/>
  <c r="K4" i="648"/>
  <c r="K9" i="648"/>
  <c r="D27" i="648"/>
  <c r="I27" i="648" s="1"/>
  <c r="B19" i="648"/>
  <c r="B28" i="648"/>
  <c r="C28" i="648" l="1"/>
  <c r="F31" i="648" s="1"/>
  <c r="M10" i="648"/>
  <c r="M9" i="648"/>
  <c r="M4" i="648"/>
  <c r="M5" i="648"/>
  <c r="F27" i="648" l="1"/>
  <c r="F32" i="648"/>
  <c r="F29" i="648"/>
  <c r="F28" i="648"/>
  <c r="F30" i="648"/>
  <c r="D42" i="648"/>
  <c r="F33" i="648"/>
  <c r="B30" i="647" l="1"/>
  <c r="C30" i="647" s="1"/>
  <c r="E43" i="648"/>
  <c r="C43" i="648"/>
  <c r="D43" i="648"/>
  <c r="B6" i="648"/>
  <c r="D30" i="648" l="1"/>
  <c r="I30" i="648" s="1"/>
  <c r="O30" i="648" s="1"/>
  <c r="H10" i="648"/>
  <c r="J10" i="648" s="1"/>
  <c r="L10" i="648" s="1"/>
  <c r="N10" i="648" s="1"/>
  <c r="O10" i="648" s="1"/>
  <c r="P10" i="648" s="1"/>
  <c r="Q10" i="648" s="1"/>
  <c r="H5" i="648"/>
  <c r="J5" i="648" s="1"/>
  <c r="L5" i="648" s="1"/>
  <c r="N5" i="648" s="1"/>
  <c r="O5" i="648" s="1"/>
  <c r="P5" i="648" s="1"/>
  <c r="Q5" i="648" s="1"/>
  <c r="H9" i="648"/>
  <c r="J9" i="648" s="1"/>
  <c r="L9" i="648" s="1"/>
  <c r="N9" i="648" s="1"/>
  <c r="O9" i="648" s="1"/>
  <c r="P9" i="648" s="1"/>
  <c r="Q9" i="648" s="1"/>
  <c r="H4" i="648"/>
  <c r="J4" i="648" s="1"/>
  <c r="L4" i="648" s="1"/>
  <c r="N4" i="648" s="1"/>
  <c r="O4" i="648" s="1"/>
  <c r="P4" i="648" s="1"/>
  <c r="Q4" i="648" s="1"/>
  <c r="E28" i="648"/>
  <c r="E32" i="648"/>
  <c r="E33" i="648"/>
  <c r="E30" i="648"/>
  <c r="E31" i="648"/>
  <c r="E29" i="648"/>
  <c r="A43" i="648"/>
  <c r="J30" i="648"/>
  <c r="P30" i="648" s="1"/>
  <c r="E36" i="648"/>
  <c r="J36" i="648" s="1"/>
  <c r="D32" i="648"/>
  <c r="D33" i="648"/>
  <c r="D31" i="648"/>
  <c r="D36" i="648"/>
  <c r="D29" i="648"/>
  <c r="D28" i="648"/>
  <c r="J33" i="648" l="1"/>
  <c r="P33" i="648" s="1"/>
  <c r="I33" i="648"/>
  <c r="O33" i="648" s="1"/>
  <c r="I29" i="648"/>
  <c r="I36" i="648"/>
  <c r="I31" i="648"/>
  <c r="O31" i="648" s="1"/>
  <c r="I32" i="648"/>
  <c r="O32" i="648" s="1"/>
  <c r="J32" i="648"/>
  <c r="P32" i="648" s="1"/>
  <c r="I28" i="648"/>
  <c r="D34" i="648"/>
  <c r="J31" i="648" l="1"/>
  <c r="P31" i="648" s="1"/>
  <c r="D37" i="648"/>
  <c r="D38" i="648" s="1"/>
  <c r="D35" i="648"/>
  <c r="J28" i="648"/>
  <c r="E34" i="648"/>
  <c r="J29" i="648"/>
  <c r="E35" i="648" l="1"/>
  <c r="F35" i="648" s="1"/>
  <c r="E37" i="648"/>
  <c r="E38" i="648" s="1"/>
  <c r="F38" i="64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Schiegg, Michael BKSD</author>
  </authors>
  <commentList>
    <comment ref="E1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Wenn 1. Mai = Wochenende dann + 0.2 Tage</t>
        </r>
      </text>
    </comment>
    <comment ref="G2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Ferientage einer LP ohne zusätzliche Ferientage (sollte 25 sein und bleiben)</t>
        </r>
      </text>
    </comment>
    <comment ref="H2" authorId="0" shapeId="0" xr:uid="{00000000-0006-0000-0100-000003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Werktage in der Unterrichtsfreien Zeit abzüglich Feiertage.</t>
        </r>
      </text>
    </comment>
    <comment ref="I2" authorId="0" shapeId="0" xr:uid="{00000000-0006-0000-0100-000004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Tage, die aufs Wochenende fallen zwischen dem 1. und dem letzten Tag des Schuljahrs</t>
        </r>
      </text>
    </comment>
    <comment ref="S11" authorId="0" shapeId="0" xr:uid="{00000000-0006-0000-0100-000005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</commentList>
</comments>
</file>

<file path=xl/sharedStrings.xml><?xml version="1.0" encoding="utf-8"?>
<sst xmlns="http://schemas.openxmlformats.org/spreadsheetml/2006/main" count="669" uniqueCount="276">
  <si>
    <t>Jahresarbeitszeit</t>
  </si>
  <si>
    <t>Ferienanspruch</t>
  </si>
  <si>
    <t>von</t>
  </si>
  <si>
    <t>bis</t>
  </si>
  <si>
    <t>JAZ</t>
  </si>
  <si>
    <t>Anzahl Lektionen</t>
  </si>
  <si>
    <t>Ferien</t>
  </si>
  <si>
    <t>Alter</t>
  </si>
  <si>
    <t>Ferientage</t>
  </si>
  <si>
    <t>Lektionen</t>
  </si>
  <si>
    <t>Schulstufe</t>
  </si>
  <si>
    <t>Total</t>
  </si>
  <si>
    <t>A</t>
  </si>
  <si>
    <t>B</t>
  </si>
  <si>
    <t>Auswahl Tagestätigkeit</t>
  </si>
  <si>
    <t>Definition Auswahlfelder</t>
  </si>
  <si>
    <t>Funktion</t>
  </si>
  <si>
    <t>Mögliche Auswahlmenüs</t>
  </si>
  <si>
    <t>Unterrichtstag</t>
  </si>
  <si>
    <t>SUM A-E</t>
  </si>
  <si>
    <t>Wochenende</t>
  </si>
  <si>
    <t>Feiertag</t>
  </si>
  <si>
    <t>Feiertag halb</t>
  </si>
  <si>
    <t>Schulferien</t>
  </si>
  <si>
    <t>Unbezahlter Urlaub</t>
  </si>
  <si>
    <t>unterrichtsfreie Arbeitszeit</t>
  </si>
  <si>
    <t>SUM B-E</t>
  </si>
  <si>
    <t>NR</t>
  </si>
  <si>
    <t>WE</t>
  </si>
  <si>
    <t>FT</t>
  </si>
  <si>
    <t>FH</t>
  </si>
  <si>
    <t>SF</t>
  </si>
  <si>
    <t>UU</t>
  </si>
  <si>
    <t>August</t>
  </si>
  <si>
    <t>Kindergarten</t>
  </si>
  <si>
    <t>ausserschulischer Unterricht</t>
  </si>
  <si>
    <t>September</t>
  </si>
  <si>
    <t>bezahlte Abwesenheit</t>
  </si>
  <si>
    <t>=SOLL</t>
  </si>
  <si>
    <t>Herbst</t>
  </si>
  <si>
    <t>Oktober</t>
  </si>
  <si>
    <t>Musikschule</t>
  </si>
  <si>
    <t>Gleitzeit</t>
  </si>
  <si>
    <t>=0</t>
  </si>
  <si>
    <t>Weihnachten</t>
  </si>
  <si>
    <t>November</t>
  </si>
  <si>
    <t>Fasnacht</t>
  </si>
  <si>
    <t>Dezember</t>
  </si>
  <si>
    <t>Frühjahr</t>
  </si>
  <si>
    <t>Januar</t>
  </si>
  <si>
    <t>Sommer</t>
  </si>
  <si>
    <t>Februar</t>
  </si>
  <si>
    <t>März</t>
  </si>
  <si>
    <t>unbezahlter Urlaub</t>
  </si>
  <si>
    <t>April</t>
  </si>
  <si>
    <t>Mai</t>
  </si>
  <si>
    <t>Juni</t>
  </si>
  <si>
    <t>Juli</t>
  </si>
  <si>
    <t>Berufsauftrag für Lehrpersonen</t>
  </si>
  <si>
    <t>Allgemeine Informationen</t>
  </si>
  <si>
    <t>Schulstufe:</t>
  </si>
  <si>
    <t>Schule:</t>
  </si>
  <si>
    <t>Schuljahr:</t>
  </si>
  <si>
    <t>Informationen zur Lehrperson</t>
  </si>
  <si>
    <t xml:space="preserve">Name: </t>
  </si>
  <si>
    <t xml:space="preserve">Vorname: </t>
  </si>
  <si>
    <t xml:space="preserve">Geburtsdatum (DD.MM.JJJJ): </t>
  </si>
  <si>
    <t>SOLL-Arbeitszeit bei 100% Anstellungsgrad</t>
  </si>
  <si>
    <t>Abzüglich 25 Ferientage</t>
  </si>
  <si>
    <t>Soll-Arbeitszeit allg.</t>
  </si>
  <si>
    <t>Absenzen von mehr als 1 Woche (Anz. Wochen)</t>
  </si>
  <si>
    <t>Umwandlung 13. Monatslohn (Anz. Wochen)</t>
  </si>
  <si>
    <t>Nettosollarbeitszeit</t>
  </si>
  <si>
    <t>Berechnung individuelle Soll-Arbeitszeit</t>
  </si>
  <si>
    <t>In Jahreslektionen</t>
  </si>
  <si>
    <t>Stellen-%</t>
  </si>
  <si>
    <t>Vollpensum (Pflichtstunden)</t>
  </si>
  <si>
    <t>Effektiv erteilte Unterrichtslektionen</t>
  </si>
  <si>
    <t>Weitere Lektionen für Spezialfunktionen (EA1 und EA2)</t>
  </si>
  <si>
    <t>Total Grundauftrag (A/B/C/D/E)</t>
  </si>
  <si>
    <t>Vereinbarung über Bereiche C, D und E</t>
  </si>
  <si>
    <t>Vereinbarung</t>
  </si>
  <si>
    <t>Bereiche C und D</t>
  </si>
  <si>
    <t>Anzahl</t>
  </si>
  <si>
    <t>Einheit</t>
  </si>
  <si>
    <t>Saldo C/D/E</t>
  </si>
  <si>
    <t>Stunden</t>
  </si>
  <si>
    <t>SCHIWEs</t>
  </si>
  <si>
    <t>Besprechung mit SL/MAG</t>
  </si>
  <si>
    <t>Elternabende</t>
  </si>
  <si>
    <t>Schulkonvente</t>
  </si>
  <si>
    <t>Schulveranstaltungen</t>
  </si>
  <si>
    <t>Mögliche Auswahl</t>
  </si>
  <si>
    <t>Bitte auswählen</t>
  </si>
  <si>
    <t>Total Bereiche C und D</t>
  </si>
  <si>
    <t>Total Bereich E</t>
  </si>
  <si>
    <t>TOTAL C/D/E</t>
  </si>
  <si>
    <t>Vereinbarung Erweiterter Auftrag</t>
  </si>
  <si>
    <t>Erweiterter Auftrag 1</t>
  </si>
  <si>
    <t>Klassenleitung</t>
  </si>
  <si>
    <t>Jahreslektionen</t>
  </si>
  <si>
    <t>Total EA 1</t>
  </si>
  <si>
    <t>Erweiterter Auftrag 2</t>
  </si>
  <si>
    <t>Bitte angeben</t>
  </si>
  <si>
    <t>Total EA 2</t>
  </si>
  <si>
    <t>Total Erweiterter Auftrag</t>
  </si>
  <si>
    <t>Total Grundauftrag und Erweiterter Auftrag</t>
  </si>
  <si>
    <t>Datum:</t>
  </si>
  <si>
    <t>Schulleitung:</t>
  </si>
  <si>
    <t>Lehrperson:</t>
  </si>
  <si>
    <t>Aufteilung A/B/C/D/E technisch</t>
  </si>
  <si>
    <t>Jahr</t>
  </si>
  <si>
    <t>SOLL-Arbeitszeit (nur 5 Wochen Ferien abgezogen)</t>
  </si>
  <si>
    <t>Anzahl Schulwoche insgeamt</t>
  </si>
  <si>
    <t>Anzahl Wochen Unterrichtsfreie Zeit</t>
  </si>
  <si>
    <t>Berechnung Anteile</t>
  </si>
  <si>
    <t>Total Stunden</t>
  </si>
  <si>
    <t>Pensum in Schulwoche</t>
  </si>
  <si>
    <t>Pensum in Schulferien (exkl. Ferien)</t>
  </si>
  <si>
    <t>Bereich A</t>
  </si>
  <si>
    <t>Stunden/Woche</t>
  </si>
  <si>
    <t>Stunden/Jahr</t>
  </si>
  <si>
    <t>C/D/E</t>
  </si>
  <si>
    <t>Davon:</t>
  </si>
  <si>
    <t>(in %)</t>
  </si>
  <si>
    <t>Bereich C</t>
  </si>
  <si>
    <t>EA1 PS</t>
  </si>
  <si>
    <t>EA 1 Sek I</t>
  </si>
  <si>
    <t>EA1 Sek II</t>
  </si>
  <si>
    <t>EA1 Sek II Berufsfachschule</t>
  </si>
  <si>
    <t>Gymnasium und FMS</t>
  </si>
  <si>
    <t>Berufsfachschulen und schulische Module Brückenangebote</t>
  </si>
  <si>
    <t>Berufsmaturitätsschule und WMS</t>
  </si>
  <si>
    <t>PICTS</t>
  </si>
  <si>
    <t>Stundenplaner/in</t>
  </si>
  <si>
    <t>Unterricht Mehrjahrgangsklasse</t>
  </si>
  <si>
    <t>Laufbahnverantwortliche/r</t>
  </si>
  <si>
    <t>Beauftragte/r BWB</t>
  </si>
  <si>
    <t>Arbeitsgruppen/Kommissionen</t>
  </si>
  <si>
    <t>Beratung Schüler/innen u. Eltern</t>
  </si>
  <si>
    <t>Lagerbegleitung (max. 4h/Tag)</t>
  </si>
  <si>
    <t>Standortgespräche</t>
  </si>
  <si>
    <t>Anteil A/B</t>
  </si>
  <si>
    <t>Anteil C/D/E</t>
  </si>
  <si>
    <t>Primarschule</t>
  </si>
  <si>
    <t>Sekundarschule</t>
  </si>
  <si>
    <t>automatisch</t>
  </si>
  <si>
    <t>Gesamtes Jahr</t>
  </si>
  <si>
    <t>Auffahrt</t>
  </si>
  <si>
    <t>Pfingstmontag</t>
  </si>
  <si>
    <t>Nationalfeiertag</t>
  </si>
  <si>
    <t>Weihnachtstag</t>
  </si>
  <si>
    <t>Stephanstag</t>
  </si>
  <si>
    <t>Neujahr</t>
  </si>
  <si>
    <t>Karfreitag</t>
  </si>
  <si>
    <t>Ostermontag</t>
  </si>
  <si>
    <t>Silverster Nachmittag</t>
  </si>
  <si>
    <t>Heiligabend Nachmittag</t>
  </si>
  <si>
    <t>Fasnachtsmontag Nachmittag</t>
  </si>
  <si>
    <t>Fasnachstmittwoch Nachmittag</t>
  </si>
  <si>
    <t>Bereich EA1/EA2</t>
  </si>
  <si>
    <t>Stunden/Woche inkl. EA1/EA2</t>
  </si>
  <si>
    <t>Jahr inkl. EA1/EA2</t>
  </si>
  <si>
    <t>Datum</t>
  </si>
  <si>
    <t>Wochentag</t>
  </si>
  <si>
    <t>Anzahl Arbeitswochen</t>
  </si>
  <si>
    <t>Jahreslektion</t>
  </si>
  <si>
    <t>manuell</t>
  </si>
  <si>
    <t>Anz. Lekt. Unterricht</t>
  </si>
  <si>
    <t>Korrektur SOLL-Arbeitszeit aufgrund Alter</t>
  </si>
  <si>
    <t>Pflichtstunden</t>
  </si>
  <si>
    <t>Bereich C MS</t>
  </si>
  <si>
    <t>Elternarbeit</t>
  </si>
  <si>
    <t>Konvente</t>
  </si>
  <si>
    <t>MAGs</t>
  </si>
  <si>
    <t>Unterrichtsbesuche</t>
  </si>
  <si>
    <t>Evaluation</t>
  </si>
  <si>
    <t>Instrumentenpräsentationen</t>
  </si>
  <si>
    <t>Gemeinschaftliches Arbeiten in unterrichtsfreier Zeit (2 Tage)</t>
  </si>
  <si>
    <t>Kompensation angeordnete Überzeit</t>
  </si>
  <si>
    <t>Vollpensum (Pflichtlektionen)</t>
  </si>
  <si>
    <t>Schulstufen</t>
  </si>
  <si>
    <t>Für SVERWEIS</t>
  </si>
  <si>
    <t>manuell/automatisch</t>
  </si>
  <si>
    <r>
      <t>Angeordnete Überzeit</t>
    </r>
    <r>
      <rPr>
        <sz val="9"/>
        <rFont val="Arial"/>
        <family val="2"/>
      </rPr>
      <t xml:space="preserve"> (Ausnahmefall gemäss VO § 11 Abs. 6)</t>
    </r>
  </si>
  <si>
    <t>Projekte/Arbeitsgruppen</t>
  </si>
  <si>
    <t>Konzerte eigene</t>
  </si>
  <si>
    <t>Aufführungen SuS</t>
  </si>
  <si>
    <t>Korepetieren</t>
  </si>
  <si>
    <t>Variable Grundlagen</t>
  </si>
  <si>
    <t>Fixe Grundlagen</t>
  </si>
  <si>
    <t>Aktuelles Schuljahr</t>
  </si>
  <si>
    <t>Tag der Arbeit</t>
  </si>
  <si>
    <t>Jahreslektion für Spezialfunktionen (EA1/EA2)</t>
  </si>
  <si>
    <t>Bereich B (Residualgrösse)</t>
  </si>
  <si>
    <t>Anteil vom Grundauftrag</t>
  </si>
  <si>
    <t>Pensum CDE in %</t>
  </si>
  <si>
    <t>Pensum A in %</t>
  </si>
  <si>
    <t>Pensum A in Stunden</t>
  </si>
  <si>
    <t>Pensum CDE in Stunden</t>
  </si>
  <si>
    <t>Pensum B in %</t>
  </si>
  <si>
    <t>Pensum B in Stunden</t>
  </si>
  <si>
    <t>Pensum EA in Stunden</t>
  </si>
  <si>
    <t>Pensum EA in %</t>
  </si>
  <si>
    <t>Pensum CDE altersbedingte Korrektur in h</t>
  </si>
  <si>
    <t>Pensum CDE altersbedingte Korrektur in %</t>
  </si>
  <si>
    <t>Korrektur um nicht bezahlte Abwesenheit</t>
  </si>
  <si>
    <t>Lektionen als Grundlage</t>
  </si>
  <si>
    <r>
      <t>Bereich C/D/E (</t>
    </r>
    <r>
      <rPr>
        <b/>
        <sz val="9"/>
        <color rgb="FFFF0000"/>
        <rFont val="Verdana"/>
        <family val="2"/>
      </rPr>
      <t>altersbedingte Korrektur berücksichtigt</t>
    </r>
    <r>
      <rPr>
        <sz val="9"/>
        <rFont val="Verdana"/>
        <family val="2"/>
      </rPr>
      <t>)</t>
    </r>
  </si>
  <si>
    <t>Arbeitszeit pro Tag UW</t>
  </si>
  <si>
    <t>Arbeitszeit pro Tag UFZ</t>
  </si>
  <si>
    <t>Lektionen für Klassenleitung (EA1)</t>
  </si>
  <si>
    <t>Anz. Lekt. Klassenleit.</t>
  </si>
  <si>
    <t>Lekt. weitere Spezialfunkt.</t>
  </si>
  <si>
    <t>Lektionen für weitere Spezialfunktionen (EA1 und EA2)</t>
  </si>
  <si>
    <t>Anzahl Tage</t>
  </si>
  <si>
    <t>Schuljahr von</t>
  </si>
  <si>
    <t>Schuljahr bis</t>
  </si>
  <si>
    <t>Feiertage</t>
  </si>
  <si>
    <t>Übersicht Arbeitstage</t>
  </si>
  <si>
    <t>unterrichts-freie Arbeits-zeit*</t>
  </si>
  <si>
    <t>Wochen-ende</t>
  </si>
  <si>
    <t>&lt;--Bitte manuell in B26/B27/B28 übertragen</t>
  </si>
  <si>
    <t>Saldo EA</t>
  </si>
  <si>
    <t>Schulinterne Begleitung Berufseinsteigende</t>
  </si>
  <si>
    <t>Zusammenarbeit Integrative Sonderschulung (VO SoPä)</t>
  </si>
  <si>
    <t>EA1 KG</t>
  </si>
  <si>
    <t>freier Tag nach Auffahrt</t>
  </si>
  <si>
    <t>*(inkl. Arbeitszeit bei halben Feiertage und exkl. freier Freitag nach Auffahrt)</t>
  </si>
  <si>
    <t>Unterrichtsfreie Arbeitszeit</t>
  </si>
  <si>
    <t>Kontrollen</t>
  </si>
  <si>
    <t>ja</t>
  </si>
  <si>
    <t>nein</t>
  </si>
  <si>
    <t>Anzahl Stunden</t>
  </si>
  <si>
    <t>Total Tage in ZD</t>
  </si>
  <si>
    <t>Teil Sollarbeitszeit</t>
  </si>
  <si>
    <t>Davon Bereich B</t>
  </si>
  <si>
    <t>Anteil in % von SOLL-Arbeitszeit</t>
  </si>
  <si>
    <t>2026/2027</t>
  </si>
  <si>
    <t>Summiert</t>
  </si>
  <si>
    <t>Wochenende/Werktag</t>
  </si>
  <si>
    <t>Logopädie</t>
  </si>
  <si>
    <t>Grundsätzlich fixe Grundlagen</t>
  </si>
  <si>
    <t>Bereich B</t>
  </si>
  <si>
    <t>Anzahl Stunden während Unterrichtszeit</t>
  </si>
  <si>
    <t>Pensum</t>
  </si>
  <si>
    <t>Anteil A</t>
  </si>
  <si>
    <t>Total Stunden Bereich B + C/D/E</t>
  </si>
  <si>
    <t>Anteil B an B + C/D/E</t>
  </si>
  <si>
    <t>Total B</t>
  </si>
  <si>
    <t>Pro Schulwoche</t>
  </si>
  <si>
    <t>Pro Tag</t>
  </si>
  <si>
    <t>Pro Tag in Stunden</t>
  </si>
  <si>
    <t>Bereich C/D/E</t>
  </si>
  <si>
    <t>Total C/D/E</t>
  </si>
  <si>
    <t>Total Arbeitszeit</t>
  </si>
  <si>
    <t>Anteil C/D/E an B + C/D/E</t>
  </si>
  <si>
    <t>SOLL-Arbeitszeit Schuljahr 2026/2027</t>
  </si>
  <si>
    <t>Schulferien Schuljahr 2026/2027</t>
  </si>
  <si>
    <t>Feiertage Schuljahr 2026/2027</t>
  </si>
  <si>
    <t>Feiertage halb Schuljahr 2026/2027</t>
  </si>
  <si>
    <t>Kindergarten28</t>
  </si>
  <si>
    <t>Primarschule28</t>
  </si>
  <si>
    <t>Werktag</t>
  </si>
  <si>
    <t>Sekundarschule27</t>
  </si>
  <si>
    <t>Gymnasium und FMS22</t>
  </si>
  <si>
    <t>Gymnasium und FMS26</t>
  </si>
  <si>
    <t>Berufsfachschulen und schulische Module Brückenangebote22</t>
  </si>
  <si>
    <t>Berufsfachschulen und schulische Module Brückenangebote23</t>
  </si>
  <si>
    <t>Berufsfachschulen und schulische Module Brückenangebote24</t>
  </si>
  <si>
    <t>Berufsfachschulen und schulische Module Brückenangebote26</t>
  </si>
  <si>
    <t>Berufsmaturitätsschule und WMS22</t>
  </si>
  <si>
    <t>Berufsmaturitätsschule und WMS26</t>
  </si>
  <si>
    <t>Musikschule27</t>
  </si>
  <si>
    <t>Logopädie28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</si>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</sst>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0.0"/>
    <numFmt numFmtId="165" formatCode="0.000"/>
    <numFmt numFmtId="166" formatCode="_ * #,##0.0_ ;_ * \-#,##0.0_ ;_ * &quot;-&quot;??_ ;_ @_ "/>
    <numFmt numFmtId="167" formatCode="0.0%"/>
    <numFmt numFmtId="168" formatCode="#,##0.0\ &quot;h&quot;"/>
    <numFmt numFmtId="169" formatCode="_ * #,##0_ ;_ * \-#,##0_ ;_ * &quot;-&quot;??_ ;_ @_ "/>
    <numFmt numFmtId="170" formatCode="[$-F400]h:mm:ss\ AM/PM"/>
    <numFmt numFmtId="171" formatCode="0.0000"/>
    <numFmt numFmtId="172" formatCode="0.0000%"/>
    <numFmt numFmtId="173" formatCode="0.000%"/>
    <numFmt numFmtId="174" formatCode="_ * #,##0.0_ ;_ * \-#,##0.0_ ;_ * &quot;-&quot;?_ ;_ @_ "/>
  </numFmts>
  <fonts count="48" x14ac:knownFonts="1"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Arial"/>
      <family val="2"/>
    </font>
    <font>
      <sz val="11"/>
      <name val="Verdana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Verdana"/>
      <family val="2"/>
    </font>
    <font>
      <sz val="10"/>
      <name val="Arial"/>
      <family val="2"/>
    </font>
    <font>
      <b/>
      <sz val="10"/>
      <name val="Verdana"/>
      <family val="2"/>
    </font>
    <font>
      <strike/>
      <sz val="10"/>
      <color rgb="FFFF0000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Verdana"/>
      <family val="2"/>
    </font>
    <font>
      <b/>
      <sz val="12"/>
      <color rgb="FFC00000"/>
      <name val="Arial"/>
      <family val="2"/>
    </font>
    <font>
      <sz val="12"/>
      <color rgb="FFFF0000"/>
      <name val="Arial"/>
      <family val="2"/>
    </font>
    <font>
      <sz val="10"/>
      <color rgb="FFFF0000"/>
      <name val="Verdana"/>
      <family val="2"/>
    </font>
    <font>
      <sz val="9"/>
      <name val="Arial"/>
      <family val="2"/>
    </font>
    <font>
      <sz val="10"/>
      <color theme="0" tint="-0.499984740745262"/>
      <name val="Verdana"/>
      <family val="2"/>
    </font>
    <font>
      <sz val="10"/>
      <color theme="1" tint="0.34998626667073579"/>
      <name val="Verdana"/>
      <family val="2"/>
    </font>
    <font>
      <sz val="12"/>
      <color theme="1" tint="0.34998626667073579"/>
      <name val="Arial"/>
      <family val="2"/>
      <scheme val="minor"/>
    </font>
    <font>
      <sz val="9"/>
      <name val="Verdana"/>
      <family val="2"/>
    </font>
    <font>
      <b/>
      <sz val="9"/>
      <color rgb="FFFF0000"/>
      <name val="Verdana"/>
      <family val="2"/>
    </font>
    <font>
      <sz val="12"/>
      <name val="Arial"/>
      <family val="2"/>
      <scheme val="major"/>
    </font>
    <font>
      <sz val="10"/>
      <name val="Arial"/>
      <family val="2"/>
      <scheme val="major"/>
    </font>
    <font>
      <sz val="12"/>
      <color theme="1"/>
      <name val="Arial"/>
      <family val="2"/>
      <scheme val="major"/>
    </font>
    <font>
      <u/>
      <sz val="10"/>
      <color theme="10"/>
      <name val="Arial"/>
      <family val="2"/>
      <scheme val="major"/>
    </font>
    <font>
      <b/>
      <sz val="12"/>
      <color theme="1"/>
      <name val="Arial"/>
      <family val="2"/>
      <scheme val="major"/>
    </font>
    <font>
      <b/>
      <sz val="10"/>
      <name val="Arial"/>
      <family val="2"/>
      <scheme val="major"/>
    </font>
    <font>
      <b/>
      <sz val="16"/>
      <color theme="1"/>
      <name val="Arial"/>
      <family val="2"/>
      <scheme val="major"/>
    </font>
    <font>
      <sz val="11"/>
      <name val="Arial"/>
      <family val="2"/>
      <scheme val="major"/>
    </font>
    <font>
      <b/>
      <sz val="12"/>
      <color theme="1" tint="0.499984740745262"/>
      <name val="Arial"/>
      <family val="2"/>
      <scheme val="major"/>
    </font>
    <font>
      <sz val="12"/>
      <color theme="1" tint="0.499984740745262"/>
      <name val="Arial"/>
      <family val="2"/>
      <scheme val="major"/>
    </font>
    <font>
      <b/>
      <sz val="12"/>
      <color rgb="FFFF0000"/>
      <name val="Arial"/>
      <family val="2"/>
      <scheme val="major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ajor"/>
    </font>
    <font>
      <sz val="10"/>
      <color theme="1"/>
      <name val="Arial"/>
      <family val="2"/>
      <scheme val="major"/>
    </font>
    <font>
      <sz val="10"/>
      <color theme="1" tint="0.499984740745262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9" tint="-0.249977111117893"/>
      </left>
      <right style="thin">
        <color theme="9" tint="-0.499984740745262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9" tint="-0.249977111117893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rgb="FF7030A0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65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0" applyNumberFormat="0" applyFill="0" applyBorder="0" applyAlignment="0" applyProtection="0"/>
    <xf numFmtId="9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2" fillId="0" borderId="0"/>
  </cellStyleXfs>
  <cellXfs count="284">
    <xf numFmtId="0" fontId="0" fillId="0" borderId="0" xfId="0"/>
    <xf numFmtId="0" fontId="5" fillId="0" borderId="0" xfId="56"/>
    <xf numFmtId="0" fontId="11" fillId="0" borderId="0" xfId="56" applyFont="1" applyAlignment="1">
      <alignment vertical="center"/>
    </xf>
    <xf numFmtId="0" fontId="19" fillId="0" borderId="0" xfId="56" applyFont="1"/>
    <xf numFmtId="0" fontId="7" fillId="8" borderId="6" xfId="56" applyFont="1" applyFill="1" applyBorder="1"/>
    <xf numFmtId="2" fontId="5" fillId="10" borderId="6" xfId="56" applyNumberFormat="1" applyFill="1" applyBorder="1"/>
    <xf numFmtId="2" fontId="5" fillId="10" borderId="6" xfId="56" applyNumberFormat="1" applyFill="1" applyBorder="1" applyAlignment="1">
      <alignment horizontal="right"/>
    </xf>
    <xf numFmtId="0" fontId="5" fillId="10" borderId="6" xfId="56" applyFill="1" applyBorder="1"/>
    <xf numFmtId="0" fontId="7" fillId="10" borderId="6" xfId="56" applyFont="1" applyFill="1" applyBorder="1"/>
    <xf numFmtId="0" fontId="7" fillId="0" borderId="0" xfId="56" applyFont="1"/>
    <xf numFmtId="0" fontId="19" fillId="8" borderId="6" xfId="56" applyFont="1" applyFill="1" applyBorder="1"/>
    <xf numFmtId="0" fontId="7" fillId="8" borderId="6" xfId="56" applyFont="1" applyFill="1" applyBorder="1" applyAlignment="1">
      <alignment wrapText="1"/>
    </xf>
    <xf numFmtId="43" fontId="5" fillId="9" borderId="6" xfId="56" applyNumberFormat="1" applyFill="1" applyBorder="1"/>
    <xf numFmtId="43" fontId="5" fillId="0" borderId="6" xfId="56" applyNumberFormat="1" applyBorder="1"/>
    <xf numFmtId="10" fontId="0" fillId="9" borderId="6" xfId="58" applyNumberFormat="1" applyFont="1" applyFill="1" applyBorder="1"/>
    <xf numFmtId="43" fontId="0" fillId="10" borderId="6" xfId="57" applyFont="1" applyFill="1" applyBorder="1"/>
    <xf numFmtId="0" fontId="11" fillId="8" borderId="6" xfId="56" applyFont="1" applyFill="1" applyBorder="1" applyAlignment="1">
      <alignment vertical="center"/>
    </xf>
    <xf numFmtId="43" fontId="5" fillId="0" borderId="0" xfId="56" applyNumberFormat="1"/>
    <xf numFmtId="43" fontId="11" fillId="0" borderId="6" xfId="57" applyFont="1" applyBorder="1" applyAlignment="1">
      <alignment vertical="center"/>
    </xf>
    <xf numFmtId="167" fontId="11" fillId="0" borderId="0" xfId="56" applyNumberFormat="1" applyFont="1" applyAlignment="1">
      <alignment vertical="center"/>
    </xf>
    <xf numFmtId="167" fontId="11" fillId="0" borderId="6" xfId="58" applyNumberFormat="1" applyFont="1" applyBorder="1" applyAlignment="1">
      <alignment vertical="center"/>
    </xf>
    <xf numFmtId="164" fontId="11" fillId="0" borderId="0" xfId="56" applyNumberFormat="1" applyFont="1" applyAlignment="1">
      <alignment vertical="center"/>
    </xf>
    <xf numFmtId="0" fontId="5" fillId="0" borderId="0" xfId="56" applyAlignment="1">
      <alignment vertical="top" wrapText="1"/>
    </xf>
    <xf numFmtId="43" fontId="5" fillId="0" borderId="0" xfId="55" applyFont="1"/>
    <xf numFmtId="10" fontId="0" fillId="9" borderId="0" xfId="58" applyNumberFormat="1" applyFont="1" applyFill="1" applyBorder="1"/>
    <xf numFmtId="0" fontId="5" fillId="8" borderId="0" xfId="56" applyFont="1" applyFill="1" applyBorder="1"/>
    <xf numFmtId="171" fontId="5" fillId="0" borderId="0" xfId="56" applyNumberFormat="1"/>
    <xf numFmtId="0" fontId="5" fillId="8" borderId="6" xfId="56" applyFont="1" applyFill="1" applyBorder="1"/>
    <xf numFmtId="0" fontId="5" fillId="8" borderId="0" xfId="56" applyFill="1"/>
    <xf numFmtId="170" fontId="5" fillId="0" borderId="0" xfId="56" applyNumberFormat="1"/>
    <xf numFmtId="0" fontId="5" fillId="0" borderId="0" xfId="56" applyFont="1"/>
    <xf numFmtId="43" fontId="26" fillId="0" borderId="0" xfId="55" applyFont="1"/>
    <xf numFmtId="0" fontId="26" fillId="0" borderId="0" xfId="56" applyFont="1"/>
    <xf numFmtId="0" fontId="5" fillId="0" borderId="0" xfId="56" applyAlignment="1">
      <alignment wrapText="1"/>
    </xf>
    <xf numFmtId="0" fontId="5" fillId="11" borderId="9" xfId="56" applyFill="1" applyBorder="1" applyAlignment="1">
      <alignment vertical="top" wrapText="1"/>
    </xf>
    <xf numFmtId="0" fontId="7" fillId="11" borderId="9" xfId="56" applyFont="1" applyFill="1" applyBorder="1" applyAlignment="1">
      <alignment vertical="top" wrapText="1"/>
    </xf>
    <xf numFmtId="0" fontId="5" fillId="11" borderId="9" xfId="56" applyFont="1" applyFill="1" applyBorder="1" applyAlignment="1">
      <alignment vertical="top" wrapText="1"/>
    </xf>
    <xf numFmtId="0" fontId="7" fillId="9" borderId="9" xfId="56" applyFont="1" applyFill="1" applyBorder="1" applyAlignment="1">
      <alignment vertical="top" wrapText="1"/>
    </xf>
    <xf numFmtId="0" fontId="5" fillId="9" borderId="9" xfId="56" applyFill="1" applyBorder="1" applyAlignment="1">
      <alignment vertical="top" wrapText="1"/>
    </xf>
    <xf numFmtId="0" fontId="7" fillId="0" borderId="0" xfId="56" applyFont="1" applyAlignment="1">
      <alignment wrapText="1"/>
    </xf>
    <xf numFmtId="0" fontId="5" fillId="11" borderId="14" xfId="56" applyFill="1" applyBorder="1" applyAlignment="1">
      <alignment vertical="top" wrapText="1"/>
    </xf>
    <xf numFmtId="0" fontId="7" fillId="9" borderId="14" xfId="56" applyFont="1" applyFill="1" applyBorder="1" applyAlignment="1">
      <alignment vertical="top" wrapText="1"/>
    </xf>
    <xf numFmtId="0" fontId="5" fillId="11" borderId="14" xfId="56" applyFont="1" applyFill="1" applyBorder="1" applyAlignment="1">
      <alignment vertical="top" wrapText="1"/>
    </xf>
    <xf numFmtId="0" fontId="5" fillId="9" borderId="14" xfId="56" applyFill="1" applyBorder="1" applyAlignment="1">
      <alignment vertical="top" wrapText="1"/>
    </xf>
    <xf numFmtId="0" fontId="7" fillId="11" borderId="14" xfId="56" applyFont="1" applyFill="1" applyBorder="1" applyAlignment="1">
      <alignment vertical="top" wrapText="1"/>
    </xf>
    <xf numFmtId="0" fontId="5" fillId="0" borderId="0" xfId="56" applyFill="1" applyAlignment="1">
      <alignment vertical="top" wrapText="1"/>
    </xf>
    <xf numFmtId="0" fontId="20" fillId="0" borderId="0" xfId="56" applyFont="1" applyAlignment="1">
      <alignment vertical="top" wrapText="1"/>
    </xf>
    <xf numFmtId="43" fontId="5" fillId="6" borderId="6" xfId="56" applyNumberFormat="1" applyFill="1" applyBorder="1"/>
    <xf numFmtId="43" fontId="5" fillId="18" borderId="6" xfId="56" applyNumberFormat="1" applyFill="1" applyBorder="1"/>
    <xf numFmtId="43" fontId="5" fillId="20" borderId="6" xfId="56" applyNumberFormat="1" applyFill="1" applyBorder="1"/>
    <xf numFmtId="10" fontId="5" fillId="20" borderId="6" xfId="60" applyNumberFormat="1" applyFont="1" applyFill="1" applyBorder="1"/>
    <xf numFmtId="43" fontId="5" fillId="19" borderId="6" xfId="56" applyNumberFormat="1" applyFill="1" applyBorder="1"/>
    <xf numFmtId="10" fontId="5" fillId="19" borderId="6" xfId="60" applyNumberFormat="1" applyFont="1" applyFill="1" applyBorder="1"/>
    <xf numFmtId="165" fontId="5" fillId="0" borderId="0" xfId="56" applyNumberFormat="1"/>
    <xf numFmtId="0" fontId="28" fillId="8" borderId="6" xfId="56" applyFont="1" applyFill="1" applyBorder="1" applyAlignment="1">
      <alignment wrapText="1"/>
    </xf>
    <xf numFmtId="10" fontId="28" fillId="0" borderId="0" xfId="60" applyNumberFormat="1" applyFont="1"/>
    <xf numFmtId="43" fontId="5" fillId="21" borderId="6" xfId="56" applyNumberFormat="1" applyFill="1" applyBorder="1"/>
    <xf numFmtId="10" fontId="5" fillId="21" borderId="6" xfId="60" applyNumberFormat="1" applyFont="1" applyFill="1" applyBorder="1"/>
    <xf numFmtId="10" fontId="0" fillId="9" borderId="15" xfId="58" applyNumberFormat="1" applyFont="1" applyFill="1" applyBorder="1"/>
    <xf numFmtId="43" fontId="5" fillId="9" borderId="15" xfId="56" applyNumberFormat="1" applyFill="1" applyBorder="1"/>
    <xf numFmtId="43" fontId="5" fillId="18" borderId="15" xfId="56" applyNumberFormat="1" applyFill="1" applyBorder="1"/>
    <xf numFmtId="0" fontId="5" fillId="8" borderId="16" xfId="56" applyFont="1" applyFill="1" applyBorder="1"/>
    <xf numFmtId="43" fontId="0" fillId="10" borderId="16" xfId="57" applyFont="1" applyFill="1" applyBorder="1"/>
    <xf numFmtId="43" fontId="29" fillId="8" borderId="6" xfId="56" applyNumberFormat="1" applyFont="1" applyFill="1" applyBorder="1"/>
    <xf numFmtId="10" fontId="30" fillId="9" borderId="6" xfId="58" applyNumberFormat="1" applyFont="1" applyFill="1" applyBorder="1"/>
    <xf numFmtId="43" fontId="28" fillId="0" borderId="0" xfId="55" applyFont="1"/>
    <xf numFmtId="166" fontId="5" fillId="9" borderId="6" xfId="56" applyNumberFormat="1" applyFill="1" applyBorder="1"/>
    <xf numFmtId="0" fontId="31" fillId="8" borderId="15" xfId="56" applyFont="1" applyFill="1" applyBorder="1"/>
    <xf numFmtId="0" fontId="16" fillId="8" borderId="4" xfId="56" applyFont="1" applyFill="1" applyBorder="1" applyAlignment="1">
      <alignment horizontal="left" vertical="center"/>
    </xf>
    <xf numFmtId="20" fontId="5" fillId="0" borderId="0" xfId="56" applyNumberFormat="1"/>
    <xf numFmtId="170" fontId="28" fillId="0" borderId="0" xfId="56" applyNumberFormat="1" applyFont="1"/>
    <xf numFmtId="43" fontId="5" fillId="10" borderId="6" xfId="55" applyFont="1" applyFill="1" applyBorder="1"/>
    <xf numFmtId="0" fontId="6" fillId="5" borderId="0" xfId="56" applyFont="1" applyFill="1" applyAlignment="1" applyProtection="1">
      <alignment vertical="center"/>
      <protection hidden="1"/>
    </xf>
    <xf numFmtId="2" fontId="8" fillId="5" borderId="0" xfId="56" applyNumberFormat="1" applyFont="1" applyFill="1" applyAlignment="1" applyProtection="1">
      <alignment horizontal="center" vertical="center"/>
      <protection hidden="1"/>
    </xf>
    <xf numFmtId="0" fontId="9" fillId="5" borderId="0" xfId="56" applyFont="1" applyFill="1" applyBorder="1" applyAlignment="1" applyProtection="1">
      <alignment horizontal="left" vertical="center"/>
      <protection hidden="1"/>
    </xf>
    <xf numFmtId="0" fontId="10" fillId="5" borderId="0" xfId="56" applyFont="1" applyFill="1" applyAlignment="1" applyProtection="1">
      <alignment vertical="center"/>
      <protection hidden="1"/>
    </xf>
    <xf numFmtId="0" fontId="8" fillId="5" borderId="0" xfId="56" applyFont="1" applyFill="1" applyAlignment="1" applyProtection="1">
      <alignment vertical="center"/>
      <protection hidden="1"/>
    </xf>
    <xf numFmtId="0" fontId="8" fillId="0" borderId="0" xfId="56" applyFont="1" applyAlignment="1" applyProtection="1">
      <alignment vertical="center"/>
      <protection hidden="1"/>
    </xf>
    <xf numFmtId="0" fontId="11" fillId="5" borderId="0" xfId="56" applyFont="1" applyFill="1" applyAlignment="1" applyProtection="1">
      <alignment vertical="center"/>
      <protection hidden="1"/>
    </xf>
    <xf numFmtId="2" fontId="11" fillId="5" borderId="0" xfId="56" applyNumberFormat="1" applyFont="1" applyFill="1" applyAlignment="1" applyProtection="1">
      <alignment horizontal="center" vertical="center"/>
      <protection hidden="1"/>
    </xf>
    <xf numFmtId="2" fontId="12" fillId="5" borderId="0" xfId="56" applyNumberFormat="1" applyFont="1" applyFill="1" applyAlignment="1" applyProtection="1">
      <alignment vertical="center"/>
      <protection hidden="1"/>
    </xf>
    <xf numFmtId="0" fontId="18" fillId="8" borderId="4" xfId="56" applyFont="1" applyFill="1" applyBorder="1" applyAlignment="1" applyProtection="1">
      <alignment horizontal="left" vertical="center" wrapText="1"/>
      <protection hidden="1"/>
    </xf>
    <xf numFmtId="0" fontId="11" fillId="0" borderId="0" xfId="56" applyFont="1" applyAlignment="1" applyProtection="1">
      <alignment vertical="center"/>
      <protection hidden="1"/>
    </xf>
    <xf numFmtId="0" fontId="9" fillId="7" borderId="4" xfId="56" applyFont="1" applyFill="1" applyBorder="1" applyAlignment="1" applyProtection="1">
      <alignment vertical="center"/>
      <protection hidden="1"/>
    </xf>
    <xf numFmtId="2" fontId="11" fillId="7" borderId="0" xfId="56" applyNumberFormat="1" applyFont="1" applyFill="1" applyAlignment="1" applyProtection="1">
      <alignment horizontal="center" vertical="center"/>
      <protection hidden="1"/>
    </xf>
    <xf numFmtId="0" fontId="11" fillId="7" borderId="0" xfId="56" applyFont="1" applyFill="1" applyAlignment="1" applyProtection="1">
      <alignment vertical="center"/>
      <protection hidden="1"/>
    </xf>
    <xf numFmtId="0" fontId="9" fillId="3" borderId="0" xfId="56" applyFont="1" applyFill="1" applyAlignment="1" applyProtection="1">
      <alignment vertical="center"/>
      <protection hidden="1"/>
    </xf>
    <xf numFmtId="43" fontId="9" fillId="3" borderId="0" xfId="55" applyFont="1" applyFill="1" applyAlignment="1" applyProtection="1">
      <alignment vertical="center"/>
      <protection hidden="1"/>
    </xf>
    <xf numFmtId="43" fontId="9" fillId="3" borderId="0" xfId="55" applyNumberFormat="1" applyFont="1" applyFill="1" applyAlignment="1" applyProtection="1">
      <alignment vertical="center"/>
      <protection hidden="1"/>
    </xf>
    <xf numFmtId="0" fontId="11" fillId="5" borderId="0" xfId="56" quotePrefix="1" applyFont="1" applyFill="1" applyAlignment="1" applyProtection="1">
      <alignment vertical="center"/>
      <protection hidden="1"/>
    </xf>
    <xf numFmtId="0" fontId="11" fillId="8" borderId="4" xfId="56" applyFont="1" applyFill="1" applyBorder="1" applyAlignment="1" applyProtection="1">
      <alignment horizontal="left" vertical="center"/>
      <protection hidden="1"/>
    </xf>
    <xf numFmtId="0" fontId="11" fillId="10" borderId="0" xfId="56" applyFont="1" applyFill="1" applyAlignment="1" applyProtection="1">
      <alignment vertical="center"/>
      <protection hidden="1"/>
    </xf>
    <xf numFmtId="43" fontId="11" fillId="9" borderId="5" xfId="57" applyFont="1" applyFill="1" applyBorder="1" applyAlignment="1" applyProtection="1">
      <alignment vertical="center"/>
      <protection locked="0" hidden="1"/>
    </xf>
    <xf numFmtId="0" fontId="12" fillId="5" borderId="0" xfId="56" applyFont="1" applyFill="1" applyAlignment="1" applyProtection="1">
      <alignment vertical="center"/>
      <protection hidden="1"/>
    </xf>
    <xf numFmtId="43" fontId="11" fillId="9" borderId="11" xfId="57" applyFont="1" applyFill="1" applyBorder="1" applyAlignment="1" applyProtection="1">
      <alignment vertical="center"/>
      <protection locked="0" hidden="1"/>
    </xf>
    <xf numFmtId="164" fontId="11" fillId="5" borderId="0" xfId="56" applyNumberFormat="1" applyFont="1" applyFill="1" applyAlignment="1" applyProtection="1">
      <alignment vertical="center"/>
      <protection hidden="1"/>
    </xf>
    <xf numFmtId="0" fontId="5" fillId="5" borderId="0" xfId="56" applyFill="1" applyProtection="1">
      <protection hidden="1"/>
    </xf>
    <xf numFmtId="0" fontId="9" fillId="5" borderId="0" xfId="56" applyFont="1" applyFill="1" applyAlignment="1" applyProtection="1">
      <alignment vertical="center"/>
      <protection hidden="1"/>
    </xf>
    <xf numFmtId="2" fontId="9" fillId="5" borderId="0" xfId="56" applyNumberFormat="1" applyFont="1" applyFill="1" applyAlignment="1" applyProtection="1">
      <alignment horizontal="center" vertical="center"/>
      <protection hidden="1"/>
    </xf>
    <xf numFmtId="0" fontId="11" fillId="5" borderId="0" xfId="56" applyFont="1" applyFill="1" applyBorder="1" applyAlignment="1" applyProtection="1">
      <alignment vertical="center"/>
      <protection hidden="1"/>
    </xf>
    <xf numFmtId="166" fontId="11" fillId="10" borderId="0" xfId="57" applyNumberFormat="1" applyFont="1" applyFill="1" applyBorder="1" applyAlignment="1" applyProtection="1">
      <alignment horizontal="center" vertical="center"/>
      <protection hidden="1"/>
    </xf>
    <xf numFmtId="166" fontId="11" fillId="10" borderId="0" xfId="57" applyNumberFormat="1" applyFont="1" applyFill="1" applyBorder="1" applyAlignment="1" applyProtection="1">
      <alignment horizontal="right" vertical="center"/>
      <protection hidden="1"/>
    </xf>
    <xf numFmtId="9" fontId="11" fillId="5" borderId="0" xfId="58" applyFont="1" applyFill="1" applyAlignment="1" applyProtection="1">
      <alignment vertical="center"/>
      <protection hidden="1"/>
    </xf>
    <xf numFmtId="166" fontId="9" fillId="10" borderId="0" xfId="57" applyNumberFormat="1" applyFont="1" applyFill="1" applyBorder="1" applyAlignment="1" applyProtection="1">
      <alignment horizontal="right" vertical="center"/>
      <protection hidden="1"/>
    </xf>
    <xf numFmtId="2" fontId="11" fillId="5" borderId="0" xfId="56" applyNumberFormat="1" applyFont="1" applyFill="1" applyAlignment="1" applyProtection="1">
      <alignment vertical="center"/>
      <protection hidden="1"/>
    </xf>
    <xf numFmtId="0" fontId="9" fillId="5" borderId="0" xfId="56" applyFont="1" applyFill="1" applyBorder="1" applyAlignment="1" applyProtection="1">
      <alignment vertical="center"/>
      <protection hidden="1"/>
    </xf>
    <xf numFmtId="0" fontId="11" fillId="8" borderId="4" xfId="56" applyFont="1" applyFill="1" applyBorder="1" applyAlignment="1" applyProtection="1">
      <alignment horizontal="left" vertical="center" shrinkToFit="1"/>
      <protection hidden="1"/>
    </xf>
    <xf numFmtId="169" fontId="11" fillId="10" borderId="0" xfId="57" applyNumberFormat="1" applyFont="1" applyFill="1" applyBorder="1" applyAlignment="1" applyProtection="1">
      <alignment horizontal="right" vertical="center"/>
      <protection hidden="1"/>
    </xf>
    <xf numFmtId="0" fontId="11" fillId="11" borderId="4" xfId="56" applyFont="1" applyFill="1" applyBorder="1" applyAlignment="1" applyProtection="1">
      <alignment horizontal="left" vertical="center"/>
      <protection hidden="1"/>
    </xf>
    <xf numFmtId="167" fontId="13" fillId="5" borderId="0" xfId="58" applyNumberFormat="1" applyFont="1" applyFill="1" applyAlignment="1" applyProtection="1">
      <alignment vertical="center"/>
      <protection hidden="1"/>
    </xf>
    <xf numFmtId="0" fontId="16" fillId="5" borderId="0" xfId="56" applyFont="1" applyFill="1" applyAlignment="1" applyProtection="1">
      <alignment vertical="center"/>
      <protection hidden="1"/>
    </xf>
    <xf numFmtId="0" fontId="11" fillId="12" borderId="4" xfId="56" applyFont="1" applyFill="1" applyBorder="1" applyAlignment="1" applyProtection="1">
      <alignment horizontal="left" vertical="center"/>
      <protection hidden="1"/>
    </xf>
    <xf numFmtId="0" fontId="9" fillId="13" borderId="0" xfId="56" applyFont="1" applyFill="1" applyAlignment="1" applyProtection="1">
      <alignment vertical="center"/>
      <protection hidden="1"/>
    </xf>
    <xf numFmtId="168" fontId="9" fillId="13" borderId="0" xfId="57" applyNumberFormat="1" applyFont="1" applyFill="1" applyAlignment="1" applyProtection="1">
      <alignment vertical="center"/>
      <protection hidden="1"/>
    </xf>
    <xf numFmtId="167" fontId="9" fillId="13" borderId="0" xfId="58" applyNumberFormat="1" applyFont="1" applyFill="1" applyAlignment="1" applyProtection="1">
      <alignment horizontal="right" vertical="center"/>
      <protection hidden="1"/>
    </xf>
    <xf numFmtId="168" fontId="11" fillId="14" borderId="0" xfId="57" applyNumberFormat="1" applyFont="1" applyFill="1" applyBorder="1" applyAlignment="1" applyProtection="1">
      <alignment horizontal="right" vertical="center"/>
      <protection hidden="1"/>
    </xf>
    <xf numFmtId="167" fontId="11" fillId="10" borderId="0" xfId="58" applyNumberFormat="1" applyFont="1" applyFill="1" applyAlignment="1" applyProtection="1">
      <alignment vertical="center"/>
      <protection hidden="1"/>
    </xf>
    <xf numFmtId="172" fontId="11" fillId="5" borderId="0" xfId="60" applyNumberFormat="1" applyFont="1" applyFill="1" applyAlignment="1" applyProtection="1">
      <alignment vertical="center"/>
      <protection hidden="1"/>
    </xf>
    <xf numFmtId="0" fontId="9" fillId="15" borderId="0" xfId="56" applyFont="1" applyFill="1" applyBorder="1" applyAlignment="1" applyProtection="1">
      <alignment vertical="center"/>
      <protection hidden="1"/>
    </xf>
    <xf numFmtId="0" fontId="11" fillId="15" borderId="0" xfId="56" applyFont="1" applyFill="1" applyBorder="1" applyAlignment="1" applyProtection="1">
      <alignment horizontal="center" vertical="center"/>
      <protection hidden="1"/>
    </xf>
    <xf numFmtId="0" fontId="9" fillId="5" borderId="0" xfId="56" applyFont="1" applyFill="1" applyAlignment="1" applyProtection="1">
      <alignment horizontal="center" vertical="center"/>
      <protection hidden="1"/>
    </xf>
    <xf numFmtId="0" fontId="9" fillId="11" borderId="0" xfId="56" applyFont="1" applyFill="1" applyBorder="1" applyAlignment="1" applyProtection="1">
      <alignment vertical="center"/>
      <protection hidden="1"/>
    </xf>
    <xf numFmtId="0" fontId="11" fillId="11" borderId="0" xfId="56" applyFont="1" applyFill="1" applyBorder="1" applyAlignment="1" applyProtection="1">
      <alignment horizontal="left" vertical="center"/>
      <protection hidden="1"/>
    </xf>
    <xf numFmtId="1" fontId="11" fillId="11" borderId="0" xfId="56" applyNumberFormat="1" applyFont="1" applyFill="1" applyBorder="1" applyAlignment="1" applyProtection="1">
      <alignment horizontal="center" vertical="center"/>
      <protection hidden="1"/>
    </xf>
    <xf numFmtId="0" fontId="11" fillId="9" borderId="5" xfId="0" applyFont="1" applyFill="1" applyBorder="1" applyAlignment="1" applyProtection="1">
      <alignment horizontal="left" vertical="center" shrinkToFit="1"/>
      <protection locked="0" hidden="1"/>
    </xf>
    <xf numFmtId="43" fontId="11" fillId="9" borderId="5" xfId="57" applyNumberFormat="1" applyFont="1" applyFill="1" applyBorder="1" applyAlignment="1" applyProtection="1">
      <alignment horizontal="right" vertical="center"/>
      <protection locked="0" hidden="1"/>
    </xf>
    <xf numFmtId="43" fontId="11" fillId="9" borderId="5" xfId="57" applyFont="1" applyFill="1" applyBorder="1" applyAlignment="1" applyProtection="1">
      <alignment horizontal="left" vertical="center"/>
      <protection locked="0" hidden="1"/>
    </xf>
    <xf numFmtId="166" fontId="12" fillId="5" borderId="0" xfId="57" applyNumberFormat="1" applyFont="1" applyFill="1" applyAlignment="1" applyProtection="1">
      <alignment vertical="center"/>
      <protection hidden="1"/>
    </xf>
    <xf numFmtId="43" fontId="11" fillId="9" borderId="5" xfId="57" applyNumberFormat="1" applyFont="1" applyFill="1" applyBorder="1" applyAlignment="1" applyProtection="1">
      <alignment horizontal="center" vertical="center"/>
      <protection locked="0" hidden="1"/>
    </xf>
    <xf numFmtId="0" fontId="11" fillId="11" borderId="0" xfId="56" applyFont="1" applyFill="1" applyBorder="1" applyAlignment="1" applyProtection="1">
      <alignment vertical="center"/>
      <protection hidden="1"/>
    </xf>
    <xf numFmtId="43" fontId="11" fillId="11" borderId="0" xfId="57" applyFont="1" applyFill="1" applyBorder="1" applyAlignment="1" applyProtection="1">
      <alignment horizontal="right" vertical="center"/>
      <protection hidden="1"/>
    </xf>
    <xf numFmtId="167" fontId="11" fillId="11" borderId="0" xfId="58" applyNumberFormat="1" applyFont="1" applyFill="1" applyBorder="1" applyAlignment="1" applyProtection="1">
      <alignment horizontal="left" vertical="center"/>
      <protection hidden="1"/>
    </xf>
    <xf numFmtId="0" fontId="11" fillId="5" borderId="0" xfId="56" applyFont="1" applyFill="1" applyBorder="1" applyAlignment="1" applyProtection="1">
      <alignment horizontal="center" vertical="center"/>
      <protection hidden="1"/>
    </xf>
    <xf numFmtId="1" fontId="9" fillId="11" borderId="0" xfId="56" applyNumberFormat="1" applyFont="1" applyFill="1" applyBorder="1" applyAlignment="1" applyProtection="1">
      <alignment horizontal="center" vertical="center"/>
      <protection hidden="1"/>
    </xf>
    <xf numFmtId="0" fontId="11" fillId="9" borderId="5" xfId="56" applyFont="1" applyFill="1" applyBorder="1" applyAlignment="1" applyProtection="1">
      <alignment horizontal="left" vertical="center" shrinkToFit="1"/>
      <protection locked="0" hidden="1"/>
    </xf>
    <xf numFmtId="166" fontId="14" fillId="5" borderId="0" xfId="57" applyNumberFormat="1" applyFont="1" applyFill="1" applyAlignment="1" applyProtection="1">
      <alignment vertical="center"/>
      <protection hidden="1"/>
    </xf>
    <xf numFmtId="1" fontId="11" fillId="5" borderId="0" xfId="56" applyNumberFormat="1" applyFont="1" applyFill="1" applyBorder="1" applyAlignment="1" applyProtection="1">
      <alignment horizontal="center" vertical="center"/>
      <protection hidden="1"/>
    </xf>
    <xf numFmtId="166" fontId="9" fillId="11" borderId="0" xfId="56" applyNumberFormat="1" applyFont="1" applyFill="1" applyBorder="1" applyAlignment="1" applyProtection="1">
      <alignment horizontal="center" vertical="center"/>
      <protection hidden="1"/>
    </xf>
    <xf numFmtId="167" fontId="11" fillId="11" borderId="0" xfId="58" applyNumberFormat="1" applyFont="1" applyFill="1" applyBorder="1" applyAlignment="1" applyProtection="1">
      <alignment horizontal="right" vertical="center"/>
      <protection hidden="1"/>
    </xf>
    <xf numFmtId="0" fontId="15" fillId="5" borderId="0" xfId="56" applyFont="1" applyFill="1" applyAlignment="1" applyProtection="1">
      <alignment vertical="center"/>
      <protection hidden="1"/>
    </xf>
    <xf numFmtId="0" fontId="9" fillId="0" borderId="0" xfId="56" applyFont="1" applyAlignment="1" applyProtection="1">
      <alignment vertical="center"/>
      <protection hidden="1"/>
    </xf>
    <xf numFmtId="0" fontId="9" fillId="16" borderId="0" xfId="56" applyFont="1" applyFill="1" applyBorder="1" applyAlignment="1" applyProtection="1">
      <alignment vertical="center"/>
      <protection hidden="1"/>
    </xf>
    <xf numFmtId="0" fontId="11" fillId="16" borderId="0" xfId="56" applyFont="1" applyFill="1" applyBorder="1" applyAlignment="1" applyProtection="1">
      <alignment horizontal="center" vertical="center"/>
      <protection hidden="1"/>
    </xf>
    <xf numFmtId="1" fontId="9" fillId="16" borderId="0" xfId="56" applyNumberFormat="1" applyFont="1" applyFill="1" applyBorder="1" applyAlignment="1" applyProtection="1">
      <alignment horizontal="center" vertical="center"/>
      <protection hidden="1"/>
    </xf>
    <xf numFmtId="0" fontId="9" fillId="12" borderId="0" xfId="56" applyFont="1" applyFill="1" applyBorder="1" applyAlignment="1" applyProtection="1">
      <alignment vertical="center"/>
      <protection hidden="1"/>
    </xf>
    <xf numFmtId="0" fontId="11" fillId="12" borderId="0" xfId="56" applyFont="1" applyFill="1" applyBorder="1" applyAlignment="1" applyProtection="1">
      <alignment horizontal="center" vertical="center"/>
      <protection hidden="1"/>
    </xf>
    <xf numFmtId="1" fontId="11" fillId="12" borderId="0" xfId="56" applyNumberFormat="1" applyFont="1" applyFill="1" applyBorder="1" applyAlignment="1" applyProtection="1">
      <alignment horizontal="center" vertical="center"/>
      <protection hidden="1"/>
    </xf>
    <xf numFmtId="43" fontId="11" fillId="12" borderId="0" xfId="57" applyFont="1" applyFill="1" applyBorder="1" applyAlignment="1" applyProtection="1">
      <alignment horizontal="right" vertical="center"/>
      <protection hidden="1"/>
    </xf>
    <xf numFmtId="0" fontId="25" fillId="5" borderId="0" xfId="56" quotePrefix="1" applyFont="1" applyFill="1" applyAlignment="1" applyProtection="1">
      <alignment vertical="center"/>
      <protection hidden="1"/>
    </xf>
    <xf numFmtId="0" fontId="11" fillId="12" borderId="0" xfId="56" applyFont="1" applyFill="1" applyAlignment="1" applyProtection="1">
      <alignment horizontal="right" vertical="center"/>
      <protection hidden="1"/>
    </xf>
    <xf numFmtId="43" fontId="9" fillId="16" borderId="0" xfId="57" applyFont="1" applyFill="1" applyBorder="1" applyAlignment="1" applyProtection="1">
      <alignment horizontal="right" vertical="center"/>
      <protection hidden="1"/>
    </xf>
    <xf numFmtId="167" fontId="9" fillId="16" borderId="0" xfId="58" applyNumberFormat="1" applyFont="1" applyFill="1" applyBorder="1" applyAlignment="1" applyProtection="1">
      <alignment horizontal="right" vertical="center"/>
      <protection hidden="1"/>
    </xf>
    <xf numFmtId="0" fontId="17" fillId="5" borderId="0" xfId="56" applyFont="1" applyFill="1" applyAlignment="1" applyProtection="1">
      <alignment vertical="center"/>
      <protection hidden="1"/>
    </xf>
    <xf numFmtId="167" fontId="24" fillId="5" borderId="0" xfId="56" applyNumberFormat="1" applyFont="1" applyFill="1" applyAlignment="1" applyProtection="1">
      <alignment horizontal="right" vertical="center"/>
      <protection hidden="1"/>
    </xf>
    <xf numFmtId="0" fontId="9" fillId="17" borderId="0" xfId="56" applyFont="1" applyFill="1" applyBorder="1" applyAlignment="1" applyProtection="1">
      <alignment vertical="center"/>
      <protection hidden="1"/>
    </xf>
    <xf numFmtId="43" fontId="9" fillId="17" borderId="0" xfId="57" applyFont="1" applyFill="1" applyBorder="1" applyAlignment="1" applyProtection="1">
      <alignment horizontal="right" vertical="center"/>
      <protection hidden="1"/>
    </xf>
    <xf numFmtId="167" fontId="11" fillId="17" borderId="0" xfId="58" applyNumberFormat="1" applyFont="1" applyFill="1" applyBorder="1" applyAlignment="1" applyProtection="1">
      <alignment horizontal="right" vertical="center"/>
      <protection hidden="1"/>
    </xf>
    <xf numFmtId="0" fontId="10" fillId="5" borderId="0" xfId="56" applyFont="1" applyFill="1" applyProtection="1">
      <protection hidden="1"/>
    </xf>
    <xf numFmtId="0" fontId="9" fillId="5" borderId="7" xfId="56" applyFont="1" applyFill="1" applyBorder="1" applyAlignment="1" applyProtection="1">
      <alignment vertical="center"/>
      <protection hidden="1"/>
    </xf>
    <xf numFmtId="0" fontId="11" fillId="5" borderId="2" xfId="56" applyFont="1" applyFill="1" applyBorder="1" applyAlignment="1" applyProtection="1">
      <alignment vertical="center"/>
      <protection hidden="1"/>
    </xf>
    <xf numFmtId="0" fontId="11" fillId="5" borderId="3" xfId="56" applyFont="1" applyFill="1" applyBorder="1" applyAlignment="1" applyProtection="1">
      <alignment vertical="center"/>
      <protection locked="0" hidden="1"/>
    </xf>
    <xf numFmtId="0" fontId="11" fillId="5" borderId="0" xfId="56" applyFont="1" applyFill="1" applyBorder="1" applyAlignment="1" applyProtection="1">
      <alignment vertical="center"/>
      <protection locked="0" hidden="1"/>
    </xf>
    <xf numFmtId="0" fontId="11" fillId="5" borderId="8" xfId="56" applyFont="1" applyFill="1" applyBorder="1" applyAlignment="1" applyProtection="1">
      <alignment vertical="center"/>
      <protection locked="0" hidden="1"/>
    </xf>
    <xf numFmtId="0" fontId="11" fillId="5" borderId="1" xfId="56" applyFont="1" applyFill="1" applyBorder="1" applyAlignment="1" applyProtection="1">
      <alignment vertical="center"/>
      <protection locked="0" hidden="1"/>
    </xf>
    <xf numFmtId="0" fontId="10" fillId="0" borderId="0" xfId="56" applyFont="1" applyAlignment="1" applyProtection="1">
      <alignment vertical="center"/>
      <protection hidden="1"/>
    </xf>
    <xf numFmtId="0" fontId="8" fillId="0" borderId="0" xfId="56" applyFont="1" applyProtection="1">
      <protection hidden="1"/>
    </xf>
    <xf numFmtId="2" fontId="8" fillId="0" borderId="0" xfId="56" applyNumberFormat="1" applyFont="1" applyAlignment="1" applyProtection="1">
      <alignment horizontal="center"/>
      <protection hidden="1"/>
    </xf>
    <xf numFmtId="2" fontId="10" fillId="0" borderId="0" xfId="56" applyNumberFormat="1" applyFont="1" applyProtection="1">
      <protection hidden="1"/>
    </xf>
    <xf numFmtId="0" fontId="11" fillId="10" borderId="17" xfId="56" applyFont="1" applyFill="1" applyBorder="1" applyAlignment="1" applyProtection="1">
      <alignment horizontal="left" vertical="center" shrinkToFit="1"/>
      <protection hidden="1"/>
    </xf>
    <xf numFmtId="43" fontId="11" fillId="10" borderId="17" xfId="57" applyNumberFormat="1" applyFont="1" applyFill="1" applyBorder="1" applyAlignment="1" applyProtection="1">
      <alignment horizontal="right" vertical="center"/>
      <protection hidden="1"/>
    </xf>
    <xf numFmtId="43" fontId="11" fillId="10" borderId="17" xfId="57" applyFont="1" applyFill="1" applyBorder="1" applyAlignment="1" applyProtection="1">
      <alignment horizontal="left" vertical="center"/>
      <protection hidden="1"/>
    </xf>
    <xf numFmtId="0" fontId="33" fillId="11" borderId="9" xfId="0" applyFont="1" applyFill="1" applyBorder="1" applyAlignment="1">
      <alignment wrapText="1"/>
    </xf>
    <xf numFmtId="0" fontId="11" fillId="12" borderId="4" xfId="56" applyFont="1" applyFill="1" applyBorder="1" applyAlignment="1" applyProtection="1">
      <alignment horizontal="left" vertical="center" shrinkToFit="1"/>
      <protection hidden="1"/>
    </xf>
    <xf numFmtId="9" fontId="11" fillId="0" borderId="0" xfId="56" applyNumberFormat="1" applyFont="1" applyAlignment="1" applyProtection="1">
      <alignment vertical="center"/>
      <protection hidden="1"/>
    </xf>
    <xf numFmtId="0" fontId="5" fillId="9" borderId="9" xfId="56" applyFont="1" applyFill="1" applyBorder="1" applyAlignment="1">
      <alignment vertical="top" wrapText="1"/>
    </xf>
    <xf numFmtId="14" fontId="11" fillId="0" borderId="0" xfId="56" applyNumberFormat="1" applyFont="1" applyAlignment="1" applyProtection="1">
      <alignment vertical="center"/>
      <protection hidden="1"/>
    </xf>
    <xf numFmtId="166" fontId="11" fillId="10" borderId="0" xfId="61" applyNumberFormat="1" applyFont="1" applyFill="1" applyBorder="1" applyAlignment="1" applyProtection="1">
      <alignment horizontal="right" vertical="center"/>
    </xf>
    <xf numFmtId="0" fontId="5" fillId="8" borderId="6" xfId="56" applyFont="1" applyFill="1" applyBorder="1" applyAlignment="1">
      <alignment wrapText="1"/>
    </xf>
    <xf numFmtId="0" fontId="25" fillId="5" borderId="0" xfId="56" applyFont="1" applyFill="1" applyAlignment="1" applyProtection="1">
      <alignment vertical="center"/>
      <protection hidden="1"/>
    </xf>
    <xf numFmtId="0" fontId="35" fillId="11" borderId="20" xfId="0" applyFont="1" applyFill="1" applyBorder="1" applyAlignment="1">
      <alignment wrapText="1"/>
    </xf>
    <xf numFmtId="0" fontId="36" fillId="11" borderId="20" xfId="59" applyFont="1" applyFill="1" applyBorder="1" applyAlignment="1">
      <alignment wrapText="1"/>
    </xf>
    <xf numFmtId="0" fontId="35" fillId="0" borderId="0" xfId="0" applyFont="1"/>
    <xf numFmtId="0" fontId="37" fillId="11" borderId="9" xfId="0" applyFont="1" applyFill="1" applyBorder="1" applyAlignment="1">
      <alignment wrapText="1"/>
    </xf>
    <xf numFmtId="0" fontId="33" fillId="9" borderId="9" xfId="0" applyFont="1" applyFill="1" applyBorder="1" applyAlignment="1">
      <alignment wrapText="1"/>
    </xf>
    <xf numFmtId="0" fontId="35" fillId="9" borderId="20" xfId="0" applyFont="1" applyFill="1" applyBorder="1" applyAlignment="1">
      <alignment wrapText="1"/>
    </xf>
    <xf numFmtId="0" fontId="35" fillId="11" borderId="9" xfId="0" applyFont="1" applyFill="1" applyBorder="1" applyAlignment="1">
      <alignment wrapText="1"/>
    </xf>
    <xf numFmtId="0" fontId="35" fillId="9" borderId="9" xfId="0" applyFont="1" applyFill="1" applyBorder="1" applyAlignment="1">
      <alignment wrapText="1"/>
    </xf>
    <xf numFmtId="0" fontId="34" fillId="9" borderId="9" xfId="56" applyFont="1" applyFill="1" applyBorder="1" applyAlignment="1">
      <alignment wrapText="1"/>
    </xf>
    <xf numFmtId="0" fontId="34" fillId="9" borderId="9" xfId="56" applyFont="1" applyFill="1" applyBorder="1" applyAlignment="1">
      <alignment horizontal="center" wrapText="1"/>
    </xf>
    <xf numFmtId="0" fontId="39" fillId="11" borderId="0" xfId="0" applyFont="1" applyFill="1" applyAlignment="1">
      <alignment wrapText="1"/>
    </xf>
    <xf numFmtId="0" fontId="35" fillId="11" borderId="0" xfId="0" applyFont="1" applyFill="1" applyAlignment="1">
      <alignment wrapText="1"/>
    </xf>
    <xf numFmtId="0" fontId="37" fillId="9" borderId="0" xfId="0" applyFont="1" applyFill="1" applyAlignment="1">
      <alignment wrapText="1"/>
    </xf>
    <xf numFmtId="0" fontId="35" fillId="9" borderId="0" xfId="0" applyFont="1" applyFill="1" applyAlignment="1">
      <alignment wrapText="1"/>
    </xf>
    <xf numFmtId="0" fontId="35" fillId="0" borderId="0" xfId="0" applyFont="1" applyAlignment="1">
      <alignment wrapText="1"/>
    </xf>
    <xf numFmtId="0" fontId="34" fillId="0" borderId="0" xfId="56" applyFont="1" applyAlignment="1">
      <alignment wrapText="1"/>
    </xf>
    <xf numFmtId="0" fontId="35" fillId="8" borderId="18" xfId="0" applyFont="1" applyFill="1" applyBorder="1"/>
    <xf numFmtId="166" fontId="35" fillId="9" borderId="25" xfId="55" applyNumberFormat="1" applyFont="1" applyFill="1" applyBorder="1"/>
    <xf numFmtId="0" fontId="35" fillId="11" borderId="14" xfId="0" applyFont="1" applyFill="1" applyBorder="1"/>
    <xf numFmtId="166" fontId="33" fillId="5" borderId="18" xfId="55" applyNumberFormat="1" applyFont="1" applyFill="1" applyBorder="1"/>
    <xf numFmtId="0" fontId="35" fillId="9" borderId="25" xfId="0" applyFont="1" applyFill="1" applyBorder="1"/>
    <xf numFmtId="166" fontId="33" fillId="14" borderId="20" xfId="55" applyNumberFormat="1" applyFont="1" applyFill="1" applyBorder="1"/>
    <xf numFmtId="0" fontId="35" fillId="8" borderId="22" xfId="0" applyFont="1" applyFill="1" applyBorder="1"/>
    <xf numFmtId="14" fontId="35" fillId="8" borderId="22" xfId="0" applyNumberFormat="1" applyFont="1" applyFill="1" applyBorder="1"/>
    <xf numFmtId="14" fontId="35" fillId="8" borderId="28" xfId="0" applyNumberFormat="1" applyFont="1" applyFill="1" applyBorder="1"/>
    <xf numFmtId="0" fontId="35" fillId="11" borderId="25" xfId="0" applyFont="1" applyFill="1" applyBorder="1"/>
    <xf numFmtId="0" fontId="35" fillId="8" borderId="19" xfId="0" applyFont="1" applyFill="1" applyBorder="1"/>
    <xf numFmtId="0" fontId="35" fillId="8" borderId="9" xfId="0" applyFont="1" applyFill="1" applyBorder="1"/>
    <xf numFmtId="0" fontId="35" fillId="9" borderId="14" xfId="0" applyFont="1" applyFill="1" applyBorder="1"/>
    <xf numFmtId="0" fontId="34" fillId="9" borderId="9" xfId="56" applyFont="1" applyFill="1" applyBorder="1"/>
    <xf numFmtId="0" fontId="34" fillId="8" borderId="9" xfId="56" applyFont="1" applyFill="1" applyBorder="1"/>
    <xf numFmtId="173" fontId="34" fillId="8" borderId="9" xfId="56" applyNumberFormat="1" applyFont="1" applyFill="1" applyBorder="1"/>
    <xf numFmtId="10" fontId="34" fillId="8" borderId="9" xfId="56" applyNumberFormat="1" applyFont="1" applyFill="1" applyBorder="1"/>
    <xf numFmtId="0" fontId="35" fillId="11" borderId="0" xfId="0" applyFont="1" applyFill="1"/>
    <xf numFmtId="0" fontId="37" fillId="2" borderId="0" xfId="0" applyFont="1" applyFill="1"/>
    <xf numFmtId="0" fontId="41" fillId="2" borderId="0" xfId="0" applyFont="1" applyFill="1"/>
    <xf numFmtId="0" fontId="37" fillId="9" borderId="0" xfId="0" applyFont="1" applyFill="1"/>
    <xf numFmtId="0" fontId="34" fillId="0" borderId="0" xfId="56" applyFont="1"/>
    <xf numFmtId="2" fontId="35" fillId="14" borderId="27" xfId="0" applyNumberFormat="1" applyFont="1" applyFill="1" applyBorder="1"/>
    <xf numFmtId="0" fontId="35" fillId="8" borderId="23" xfId="0" applyFont="1" applyFill="1" applyBorder="1"/>
    <xf numFmtId="14" fontId="35" fillId="8" borderId="23" xfId="0" applyNumberFormat="1" applyFont="1" applyFill="1" applyBorder="1"/>
    <xf numFmtId="0" fontId="40" fillId="11" borderId="9" xfId="56" applyFont="1" applyFill="1" applyBorder="1" applyAlignment="1">
      <alignment horizontal="right"/>
    </xf>
    <xf numFmtId="0" fontId="42" fillId="8" borderId="9" xfId="0" applyFont="1" applyFill="1" applyBorder="1"/>
    <xf numFmtId="0" fontId="43" fillId="9" borderId="0" xfId="0" applyFont="1" applyFill="1"/>
    <xf numFmtId="14" fontId="35" fillId="0" borderId="26" xfId="0" applyNumberFormat="1" applyFont="1" applyBorder="1"/>
    <xf numFmtId="14" fontId="35" fillId="0" borderId="18" xfId="0" applyNumberFormat="1" applyFont="1" applyBorder="1"/>
    <xf numFmtId="0" fontId="40" fillId="8" borderId="9" xfId="56" applyFont="1" applyFill="1" applyBorder="1"/>
    <xf numFmtId="14" fontId="35" fillId="8" borderId="24" xfId="0" applyNumberFormat="1" applyFont="1" applyFill="1" applyBorder="1"/>
    <xf numFmtId="174" fontId="35" fillId="0" borderId="0" xfId="0" applyNumberFormat="1" applyFont="1"/>
    <xf numFmtId="0" fontId="42" fillId="8" borderId="9" xfId="0" quotePrefix="1" applyFont="1" applyFill="1" applyBorder="1"/>
    <xf numFmtId="0" fontId="44" fillId="0" borderId="0" xfId="56" applyFont="1"/>
    <xf numFmtId="0" fontId="38" fillId="23" borderId="0" xfId="56" applyFont="1" applyFill="1"/>
    <xf numFmtId="0" fontId="38" fillId="23" borderId="6" xfId="56" applyFont="1" applyFill="1" applyBorder="1"/>
    <xf numFmtId="164" fontId="38" fillId="23" borderId="6" xfId="56" applyNumberFormat="1" applyFont="1" applyFill="1" applyBorder="1"/>
    <xf numFmtId="16" fontId="35" fillId="11" borderId="25" xfId="0" applyNumberFormat="1" applyFont="1" applyFill="1" applyBorder="1"/>
    <xf numFmtId="16" fontId="35" fillId="0" borderId="0" xfId="0" applyNumberFormat="1" applyFont="1"/>
    <xf numFmtId="0" fontId="45" fillId="0" borderId="0" xfId="56" applyFont="1"/>
    <xf numFmtId="0" fontId="34" fillId="22" borderId="0" xfId="56" applyFont="1" applyFill="1" applyBorder="1"/>
    <xf numFmtId="0" fontId="34" fillId="22" borderId="29" xfId="56" applyFont="1" applyFill="1" applyBorder="1"/>
    <xf numFmtId="0" fontId="34" fillId="4" borderId="6" xfId="56" applyFont="1" applyFill="1" applyBorder="1"/>
    <xf numFmtId="0" fontId="45" fillId="4" borderId="6" xfId="56" applyFont="1" applyFill="1" applyBorder="1"/>
    <xf numFmtId="0" fontId="38" fillId="4" borderId="6" xfId="56" applyFont="1" applyFill="1" applyBorder="1"/>
    <xf numFmtId="43" fontId="45" fillId="0" borderId="0" xfId="55" applyFont="1"/>
    <xf numFmtId="2" fontId="34" fillId="4" borderId="6" xfId="56" applyNumberFormat="1" applyFont="1" applyFill="1" applyBorder="1"/>
    <xf numFmtId="166" fontId="45" fillId="4" borderId="6" xfId="55" applyNumberFormat="1" applyFont="1" applyFill="1" applyBorder="1"/>
    <xf numFmtId="174" fontId="34" fillId="4" borderId="6" xfId="56" applyNumberFormat="1" applyFont="1" applyFill="1" applyBorder="1"/>
    <xf numFmtId="43" fontId="45" fillId="4" borderId="6" xfId="55" applyFont="1" applyFill="1" applyBorder="1"/>
    <xf numFmtId="0" fontId="35" fillId="22" borderId="25" xfId="0" applyFont="1" applyFill="1" applyBorder="1"/>
    <xf numFmtId="0" fontId="35" fillId="8" borderId="24" xfId="0" applyFont="1" applyFill="1" applyBorder="1"/>
    <xf numFmtId="0" fontId="34" fillId="23" borderId="6" xfId="56" applyFont="1" applyFill="1" applyBorder="1"/>
    <xf numFmtId="166" fontId="34" fillId="22" borderId="6" xfId="56" applyNumberFormat="1" applyFont="1" applyFill="1" applyBorder="1"/>
    <xf numFmtId="2" fontId="34" fillId="22" borderId="6" xfId="56" applyNumberFormat="1" applyFont="1" applyFill="1" applyBorder="1"/>
    <xf numFmtId="2" fontId="38" fillId="22" borderId="6" xfId="56" applyNumberFormat="1" applyFont="1" applyFill="1" applyBorder="1"/>
    <xf numFmtId="0" fontId="37" fillId="11" borderId="9" xfId="0" applyFont="1" applyFill="1" applyBorder="1"/>
    <xf numFmtId="166" fontId="37" fillId="8" borderId="21" xfId="55" applyNumberFormat="1" applyFont="1" applyFill="1" applyBorder="1"/>
    <xf numFmtId="14" fontId="35" fillId="0" borderId="0" xfId="0" applyNumberFormat="1" applyFont="1"/>
    <xf numFmtId="0" fontId="34" fillId="22" borderId="0" xfId="56" applyFont="1" applyFill="1"/>
    <xf numFmtId="0" fontId="34" fillId="22" borderId="6" xfId="56" applyFont="1" applyFill="1" applyBorder="1"/>
    <xf numFmtId="173" fontId="34" fillId="0" borderId="0" xfId="56" applyNumberFormat="1" applyFont="1"/>
    <xf numFmtId="0" fontId="34" fillId="15" borderId="0" xfId="56" applyFont="1" applyFill="1"/>
    <xf numFmtId="2" fontId="34" fillId="0" borderId="0" xfId="56" applyNumberFormat="1" applyFont="1"/>
    <xf numFmtId="14" fontId="34" fillId="0" borderId="0" xfId="56" applyNumberFormat="1" applyFont="1"/>
    <xf numFmtId="43" fontId="34" fillId="0" borderId="0" xfId="55" applyFont="1"/>
    <xf numFmtId="43" fontId="34" fillId="0" borderId="0" xfId="56" applyNumberFormat="1" applyFont="1"/>
    <xf numFmtId="14" fontId="35" fillId="8" borderId="27" xfId="0" applyNumberFormat="1" applyFont="1" applyFill="1" applyBorder="1"/>
    <xf numFmtId="14" fontId="46" fillId="0" borderId="26" xfId="0" applyNumberFormat="1" applyFont="1" applyBorder="1"/>
    <xf numFmtId="14" fontId="46" fillId="0" borderId="18" xfId="0" applyNumberFormat="1" applyFont="1" applyBorder="1"/>
    <xf numFmtId="174" fontId="35" fillId="9" borderId="25" xfId="0" applyNumberFormat="1" applyFont="1" applyFill="1" applyBorder="1"/>
    <xf numFmtId="0" fontId="47" fillId="7" borderId="0" xfId="56" applyFont="1" applyFill="1"/>
    <xf numFmtId="0" fontId="47" fillId="8" borderId="0" xfId="56" applyFont="1" applyFill="1"/>
    <xf numFmtId="43" fontId="47" fillId="10" borderId="0" xfId="55" applyFont="1" applyFill="1"/>
    <xf numFmtId="170" fontId="47" fillId="10" borderId="0" xfId="56" applyNumberFormat="1" applyFont="1" applyFill="1"/>
    <xf numFmtId="43" fontId="11" fillId="5" borderId="0" xfId="55" applyFont="1" applyFill="1" applyAlignment="1" applyProtection="1">
      <alignment vertical="center"/>
      <protection hidden="1"/>
    </xf>
    <xf numFmtId="0" fontId="40" fillId="11" borderId="9" xfId="56" applyFont="1" applyFill="1" applyBorder="1" applyAlignment="1">
      <alignment horizontal="center"/>
    </xf>
    <xf numFmtId="0" fontId="40" fillId="11" borderId="14" xfId="56" applyFont="1" applyFill="1" applyBorder="1" applyAlignment="1">
      <alignment horizontal="center" vertical="center" wrapText="1"/>
    </xf>
    <xf numFmtId="0" fontId="34" fillId="15" borderId="0" xfId="56" applyFont="1" applyFill="1" applyAlignment="1">
      <alignment horizontal="center" textRotation="90"/>
    </xf>
    <xf numFmtId="0" fontId="38" fillId="0" borderId="0" xfId="56" applyFont="1" applyBorder="1" applyAlignment="1">
      <alignment horizontal="center" wrapText="1"/>
    </xf>
    <xf numFmtId="0" fontId="33" fillId="11" borderId="14" xfId="0" applyFont="1" applyFill="1" applyBorder="1" applyAlignment="1">
      <alignment horizontal="center" wrapText="1"/>
    </xf>
    <xf numFmtId="0" fontId="33" fillId="11" borderId="19" xfId="0" applyFont="1" applyFill="1" applyBorder="1" applyAlignment="1">
      <alignment horizontal="center" wrapText="1"/>
    </xf>
    <xf numFmtId="14" fontId="11" fillId="9" borderId="5" xfId="56" applyNumberFormat="1" applyFont="1" applyFill="1" applyBorder="1" applyAlignment="1" applyProtection="1">
      <alignment horizontal="center" vertical="center"/>
      <protection locked="0" hidden="1"/>
    </xf>
    <xf numFmtId="2" fontId="11" fillId="9" borderId="5" xfId="56" applyNumberFormat="1" applyFont="1" applyFill="1" applyBorder="1" applyAlignment="1" applyProtection="1">
      <alignment horizontal="center" vertical="center" shrinkToFit="1"/>
      <protection locked="0" hidden="1"/>
    </xf>
    <xf numFmtId="2" fontId="11" fillId="9" borderId="10" xfId="56" applyNumberFormat="1" applyFont="1" applyFill="1" applyBorder="1" applyAlignment="1" applyProtection="1">
      <alignment horizontal="center" vertical="center" shrinkToFit="1"/>
      <protection locked="0" hidden="1"/>
    </xf>
    <xf numFmtId="0" fontId="11" fillId="10" borderId="13" xfId="56" applyNumberFormat="1" applyFont="1" applyFill="1" applyBorder="1" applyAlignment="1" applyProtection="1">
      <alignment horizontal="center" vertical="center"/>
      <protection hidden="1"/>
    </xf>
    <xf numFmtId="0" fontId="11" fillId="10" borderId="12" xfId="56" applyNumberFormat="1" applyFont="1" applyFill="1" applyBorder="1" applyAlignment="1" applyProtection="1">
      <alignment horizontal="center" vertical="center"/>
      <protection hidden="1"/>
    </xf>
    <xf numFmtId="2" fontId="11" fillId="9" borderId="5" xfId="56" applyNumberFormat="1" applyFont="1" applyFill="1" applyBorder="1" applyAlignment="1" applyProtection="1">
      <alignment horizontal="center" vertical="center"/>
      <protection locked="0" hidden="1"/>
    </xf>
  </cellXfs>
  <cellStyles count="65">
    <cellStyle name="Besuchter Hyperlink" xfId="2" builtinId="9" hidden="1"/>
    <cellStyle name="Besuchter Hyperlink" xfId="5" builtinId="9" hidden="1"/>
    <cellStyle name="Besuchter Hyperlink" xfId="36" builtinId="9" hidden="1"/>
    <cellStyle name="Besuchter Hyperlink" xfId="38" builtinId="9" hidden="1"/>
    <cellStyle name="Besuchter Hyperlink" xfId="42" builtinId="9" hidden="1"/>
    <cellStyle name="Besuchter Hyperlink" xfId="46" builtinId="9" hidden="1"/>
    <cellStyle name="Besuchter Hyperlink" xfId="50" builtinId="9" hidden="1"/>
    <cellStyle name="Besuchter Hyperlink" xfId="48" builtinId="9" hidden="1"/>
    <cellStyle name="Besuchter Hyperlink" xfId="32" builtinId="9" hidden="1"/>
    <cellStyle name="Besuchter Hyperlink" xfId="24" builtinId="9" hidden="1"/>
    <cellStyle name="Besuchter Hyperlink" xfId="16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4" builtinId="9" hidden="1"/>
    <cellStyle name="Besuchter Hyperlink" xfId="8" builtinId="9" hidden="1"/>
    <cellStyle name="Besuchter Hyperlink" xfId="6" builtinId="9" hidden="1"/>
    <cellStyle name="Besuchter Hyperlink" xfId="40" builtinId="9" hidden="1"/>
    <cellStyle name="Besuchter Hyperlink" xfId="44" builtinId="9" hidden="1"/>
    <cellStyle name="Besuchter Hyperlink" xfId="34" builtinId="9" hidden="1"/>
    <cellStyle name="Besuchter Hyperlink" xfId="20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22" builtinId="9" hidden="1"/>
    <cellStyle name="Besuchter Hyperlink" xfId="52" builtinId="9" hidden="1"/>
    <cellStyle name="Besuchter Hyperlink" xfId="18" builtinId="9" hidden="1"/>
    <cellStyle name="Besuchter Hyperlink" xfId="54" builtinId="9" hidden="1"/>
    <cellStyle name="Komma" xfId="55" builtinId="3"/>
    <cellStyle name="Komma 2" xfId="57" xr:uid="{00000000-0005-0000-0000-00001D000000}"/>
    <cellStyle name="Komma 2 2" xfId="61" xr:uid="{00000000-0005-0000-0000-00001E000000}"/>
    <cellStyle name="Link" xfId="17" builtinId="8" hidden="1"/>
    <cellStyle name="Link" xfId="7" builtinId="8" hidden="1"/>
    <cellStyle name="Link" xfId="9" builtinId="8" hidden="1"/>
    <cellStyle name="Link" xfId="1" builtinId="8" hidden="1"/>
    <cellStyle name="Link" xfId="3" builtinId="8" hidden="1"/>
    <cellStyle name="Link" xfId="1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7" builtinId="8" hidden="1"/>
    <cellStyle name="Link" xfId="39" builtinId="8" hidden="1"/>
    <cellStyle name="Link" xfId="41" builtinId="8" hidden="1"/>
    <cellStyle name="Link" xfId="19" builtinId="8" hidden="1"/>
    <cellStyle name="Link" xfId="11" builtinId="8" hidden="1"/>
    <cellStyle name="Link" xfId="13" builtinId="8" hidden="1"/>
    <cellStyle name="Link" xfId="35" builtinId="8" hidden="1"/>
    <cellStyle name="Link" xfId="25" builtinId="8" hidden="1"/>
    <cellStyle name="Link" xfId="51" builtinId="8" hidden="1"/>
    <cellStyle name="Link" xfId="43" builtinId="8" hidden="1"/>
    <cellStyle name="Link" xfId="21" builtinId="8" hidden="1"/>
    <cellStyle name="Link" xfId="23" builtinId="8" hidden="1"/>
    <cellStyle name="Link" xfId="49" builtinId="8" hidden="1"/>
    <cellStyle name="Link" xfId="53" builtinId="8" hidden="1"/>
    <cellStyle name="Link" xfId="47" builtinId="8" hidden="1"/>
    <cellStyle name="Link" xfId="45" builtinId="8" hidden="1"/>
    <cellStyle name="Link" xfId="59" builtinId="8"/>
    <cellStyle name="Prozent" xfId="60" builtinId="5"/>
    <cellStyle name="Prozent 2" xfId="58" xr:uid="{00000000-0005-0000-0000-00003B000000}"/>
    <cellStyle name="Prozent 2 2" xfId="62" xr:uid="{00000000-0005-0000-0000-00003C000000}"/>
    <cellStyle name="Standard" xfId="0" builtinId="0"/>
    <cellStyle name="Standard 2" xfId="56" xr:uid="{00000000-0005-0000-0000-00003E000000}"/>
    <cellStyle name="Standard 3" xfId="63" xr:uid="{00000000-0005-0000-0000-00003F000000}"/>
    <cellStyle name="Standard 3 2" xfId="64" xr:uid="{00000000-0005-0000-0000-000040000000}"/>
  </cellStyles>
  <dxfs count="36"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6" tint="0.59996337778862885"/>
      </font>
    </dxf>
    <dxf>
      <font>
        <color theme="0" tint="-0.34998626667073579"/>
      </font>
    </dxf>
    <dxf>
      <font>
        <color rgb="FF00B050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175" formatCode="&quot;DD.MM.JJJJ&quot;"/>
    </dxf>
  </dxfs>
  <tableStyles count="0" defaultTableStyle="TableStyleMedium9" defaultPivotStyle="PivotStyleMedium7"/>
  <colors>
    <mruColors>
      <color rgb="FFE6F0FB"/>
      <color rgb="FFC2D6EE"/>
      <color rgb="FFC2D6DA"/>
      <color rgb="FFFFFF99"/>
      <color rgb="FFF0F0F0"/>
      <color rgb="FFE6E6E6"/>
      <color rgb="FFD2D2D2"/>
      <color rgb="FFFAFAFA"/>
      <color rgb="FFE2E1E3"/>
      <color rgb="FF0082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Design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baselland.ch/politik-und-behorden/direktionen/finanz-und-kirchendirektion/personalamt/arbeitszeiten" TargetMode="External"/><Relationship Id="rId1" Type="http://schemas.openxmlformats.org/officeDocument/2006/relationships/hyperlink" Target="https://www.baselland.ch/politik-und-behorden/direktionen/finanz-und-kirchendirektion/personalamt/arbeitszeiten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3">
    <tabColor rgb="FFFFC000"/>
  </sheetPr>
  <dimension ref="A1:L29"/>
  <sheetViews>
    <sheetView zoomScale="85" zoomScaleNormal="85" workbookViewId="0">
      <pane ySplit="1" topLeftCell="A2" activePane="bottomLeft" state="frozen"/>
      <selection sqref="A1:A16"/>
      <selection pane="bottomLeft" sqref="A1:A16"/>
    </sheetView>
  </sheetViews>
  <sheetFormatPr baseColWidth="10" defaultColWidth="11.5546875" defaultRowHeight="12.75" x14ac:dyDescent="0.2"/>
  <cols>
    <col min="1" max="11" width="17.77734375" style="33" customWidth="1"/>
    <col min="12" max="16384" width="11.5546875" style="1"/>
  </cols>
  <sheetData>
    <row r="1" spans="1:12" s="22" customFormat="1" ht="39" thickBot="1" x14ac:dyDescent="0.25">
      <c r="A1" s="35" t="s">
        <v>125</v>
      </c>
      <c r="B1" s="36" t="s">
        <v>171</v>
      </c>
      <c r="C1" s="37" t="s">
        <v>126</v>
      </c>
      <c r="D1" s="37" t="s">
        <v>127</v>
      </c>
      <c r="E1" s="37" t="s">
        <v>128</v>
      </c>
      <c r="F1" s="37" t="s">
        <v>129</v>
      </c>
      <c r="G1" s="35" t="s">
        <v>130</v>
      </c>
      <c r="H1" s="35" t="s">
        <v>131</v>
      </c>
      <c r="I1" s="35" t="s">
        <v>132</v>
      </c>
      <c r="J1" s="38" t="s">
        <v>181</v>
      </c>
      <c r="K1" s="34" t="s">
        <v>183</v>
      </c>
      <c r="L1" s="174" t="s">
        <v>226</v>
      </c>
    </row>
    <row r="2" spans="1:12" ht="51.75" thickBot="1" x14ac:dyDescent="0.25">
      <c r="A2" s="34" t="s">
        <v>178</v>
      </c>
      <c r="B2" s="40" t="s">
        <v>172</v>
      </c>
      <c r="C2" s="37" t="s">
        <v>99</v>
      </c>
      <c r="D2" s="37" t="s">
        <v>99</v>
      </c>
      <c r="E2" s="37" t="s">
        <v>99</v>
      </c>
      <c r="F2" s="41" t="s">
        <v>99</v>
      </c>
      <c r="G2" s="34">
        <v>22</v>
      </c>
      <c r="H2" s="34">
        <v>22</v>
      </c>
      <c r="I2" s="40">
        <v>22</v>
      </c>
      <c r="J2" s="41" t="s">
        <v>34</v>
      </c>
      <c r="K2" s="34" t="s">
        <v>167</v>
      </c>
      <c r="L2" s="37" t="s">
        <v>99</v>
      </c>
    </row>
    <row r="3" spans="1:12" ht="13.5" thickBot="1" x14ac:dyDescent="0.25">
      <c r="A3" s="35" t="s">
        <v>87</v>
      </c>
      <c r="B3" s="42" t="s">
        <v>186</v>
      </c>
      <c r="C3" s="38" t="s">
        <v>133</v>
      </c>
      <c r="D3" s="37" t="s">
        <v>133</v>
      </c>
      <c r="E3" s="38" t="s">
        <v>133</v>
      </c>
      <c r="F3" s="43" t="s">
        <v>133</v>
      </c>
      <c r="G3" s="34">
        <v>26</v>
      </c>
      <c r="H3" s="34">
        <v>23</v>
      </c>
      <c r="I3" s="44">
        <v>26</v>
      </c>
      <c r="J3" s="41" t="s">
        <v>144</v>
      </c>
      <c r="K3" s="34" t="s">
        <v>146</v>
      </c>
      <c r="L3" s="38" t="s">
        <v>133</v>
      </c>
    </row>
    <row r="4" spans="1:12" ht="26.25" thickBot="1" x14ac:dyDescent="0.25">
      <c r="A4" s="35" t="s">
        <v>90</v>
      </c>
      <c r="B4" s="42" t="s">
        <v>187</v>
      </c>
      <c r="C4" s="38" t="s">
        <v>134</v>
      </c>
      <c r="D4" s="38" t="s">
        <v>134</v>
      </c>
      <c r="E4" s="38" t="s">
        <v>134</v>
      </c>
      <c r="F4" s="38" t="s">
        <v>134</v>
      </c>
      <c r="G4" s="22"/>
      <c r="H4" s="34">
        <v>24</v>
      </c>
      <c r="I4" s="22"/>
      <c r="J4" s="37" t="s">
        <v>145</v>
      </c>
      <c r="K4" s="22"/>
      <c r="L4" s="38" t="s">
        <v>134</v>
      </c>
    </row>
    <row r="5" spans="1:12" ht="51.75" thickBot="1" x14ac:dyDescent="0.25">
      <c r="A5" s="35" t="s">
        <v>88</v>
      </c>
      <c r="B5" s="42" t="s">
        <v>185</v>
      </c>
      <c r="C5" s="38" t="s">
        <v>135</v>
      </c>
      <c r="D5" s="37" t="s">
        <v>136</v>
      </c>
      <c r="E5" s="45"/>
      <c r="F5" s="38" t="s">
        <v>137</v>
      </c>
      <c r="G5" s="22"/>
      <c r="H5" s="34">
        <v>26</v>
      </c>
      <c r="I5" s="22"/>
      <c r="J5" s="37" t="s">
        <v>130</v>
      </c>
      <c r="K5" s="22"/>
      <c r="L5" s="38" t="s">
        <v>225</v>
      </c>
    </row>
    <row r="6" spans="1:12" ht="51.75" thickBot="1" x14ac:dyDescent="0.25">
      <c r="A6" s="35" t="s">
        <v>138</v>
      </c>
      <c r="B6" s="36" t="s">
        <v>173</v>
      </c>
      <c r="C6" s="38" t="s">
        <v>225</v>
      </c>
      <c r="D6" s="38" t="s">
        <v>137</v>
      </c>
      <c r="E6" s="45"/>
      <c r="F6" s="45"/>
      <c r="G6" s="22"/>
      <c r="H6" s="22"/>
      <c r="I6" s="22"/>
      <c r="J6" s="37" t="s">
        <v>131</v>
      </c>
      <c r="K6" s="22"/>
    </row>
    <row r="7" spans="1:12" ht="39" thickBot="1" x14ac:dyDescent="0.25">
      <c r="A7" s="35" t="s">
        <v>91</v>
      </c>
      <c r="B7" s="36" t="s">
        <v>87</v>
      </c>
      <c r="C7" s="45"/>
      <c r="D7" s="38" t="s">
        <v>224</v>
      </c>
      <c r="E7" s="45"/>
      <c r="F7" s="45"/>
      <c r="G7" s="22"/>
      <c r="H7" s="22"/>
      <c r="I7" s="22"/>
      <c r="J7" s="37" t="s">
        <v>132</v>
      </c>
      <c r="K7" s="22"/>
    </row>
    <row r="8" spans="1:12" ht="51.75" thickBot="1" x14ac:dyDescent="0.25">
      <c r="A8" s="35" t="s">
        <v>139</v>
      </c>
      <c r="B8" s="36" t="s">
        <v>174</v>
      </c>
      <c r="C8" s="22"/>
      <c r="D8" s="38" t="s">
        <v>225</v>
      </c>
      <c r="E8" s="22"/>
      <c r="F8" s="22"/>
      <c r="G8" s="22"/>
      <c r="H8" s="22"/>
      <c r="I8" s="22"/>
      <c r="J8" s="174" t="s">
        <v>241</v>
      </c>
      <c r="K8" s="22"/>
    </row>
    <row r="9" spans="1:12" ht="13.5" thickBot="1" x14ac:dyDescent="0.25">
      <c r="A9" s="35" t="s">
        <v>89</v>
      </c>
      <c r="B9" s="36" t="s">
        <v>175</v>
      </c>
      <c r="C9" s="22"/>
      <c r="D9" s="22"/>
      <c r="E9" s="46"/>
      <c r="F9" s="46"/>
      <c r="G9" s="22"/>
      <c r="H9" s="22"/>
      <c r="I9" s="22"/>
      <c r="J9" s="22"/>
      <c r="K9" s="22"/>
    </row>
    <row r="10" spans="1:12" ht="26.25" thickBot="1" x14ac:dyDescent="0.25">
      <c r="A10" s="35" t="s">
        <v>140</v>
      </c>
      <c r="B10" s="36" t="s">
        <v>176</v>
      </c>
      <c r="C10" s="46"/>
      <c r="D10" s="22"/>
      <c r="E10" s="22"/>
      <c r="F10" s="22"/>
      <c r="G10" s="22"/>
      <c r="H10" s="22"/>
      <c r="I10" s="22"/>
      <c r="J10" s="22"/>
      <c r="K10" s="22"/>
    </row>
    <row r="11" spans="1:12" ht="13.5" thickBot="1" x14ac:dyDescent="0.25">
      <c r="A11" s="35" t="s">
        <v>141</v>
      </c>
      <c r="B11" s="36" t="s">
        <v>188</v>
      </c>
      <c r="C11" s="46"/>
      <c r="D11" s="22"/>
      <c r="E11" s="22"/>
      <c r="F11" s="22"/>
      <c r="G11" s="22"/>
      <c r="H11" s="22"/>
      <c r="I11" s="22"/>
      <c r="J11" s="22"/>
      <c r="K11" s="22"/>
    </row>
    <row r="12" spans="1:12" ht="26.25" thickBot="1" x14ac:dyDescent="0.25">
      <c r="A12" s="35" t="s">
        <v>179</v>
      </c>
      <c r="B12" s="36" t="s">
        <v>177</v>
      </c>
      <c r="C12" s="22"/>
      <c r="D12" s="22"/>
      <c r="E12" s="22"/>
      <c r="F12" s="22"/>
      <c r="G12" s="22"/>
      <c r="H12" s="22"/>
      <c r="I12" s="22"/>
      <c r="J12" s="22"/>
      <c r="K12" s="22"/>
    </row>
    <row r="13" spans="1:12" x14ac:dyDescent="0.2">
      <c r="B13" s="22"/>
      <c r="C13" s="22"/>
      <c r="D13" s="22"/>
      <c r="E13" s="22"/>
      <c r="F13" s="22"/>
      <c r="G13" s="22"/>
      <c r="H13" s="22"/>
      <c r="I13" s="22"/>
      <c r="J13" s="22"/>
      <c r="K13" s="22"/>
    </row>
    <row r="26" spans="1:2" x14ac:dyDescent="0.2">
      <c r="A26" s="39"/>
      <c r="B26" s="39"/>
    </row>
    <row r="29" spans="1:2" x14ac:dyDescent="0.2">
      <c r="A29" s="39"/>
      <c r="B29" s="39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4">
    <tabColor rgb="FFFFC000"/>
  </sheetPr>
  <dimension ref="A1:AU252"/>
  <sheetViews>
    <sheetView zoomScaleNormal="100" workbookViewId="0">
      <selection sqref="A1:XFD1048576"/>
    </sheetView>
  </sheetViews>
  <sheetFormatPr baseColWidth="10" defaultColWidth="11.5546875" defaultRowHeight="15" x14ac:dyDescent="0.2"/>
  <cols>
    <col min="1" max="1" width="3.5546875" style="258" bestFit="1" customWidth="1"/>
    <col min="2" max="3" width="11.33203125" style="216" customWidth="1"/>
    <col min="4" max="4" width="3.77734375" style="181" customWidth="1"/>
    <col min="5" max="7" width="8.21875" style="216" customWidth="1"/>
    <col min="8" max="8" width="9.33203125" style="216" customWidth="1"/>
    <col min="9" max="12" width="8.21875" style="216" customWidth="1"/>
    <col min="13" max="13" width="3.109375" style="181" customWidth="1"/>
    <col min="14" max="14" width="16.33203125" style="181" customWidth="1"/>
    <col min="15" max="15" width="8.109375" style="181" customWidth="1"/>
    <col min="16" max="16" width="11.5546875" style="181"/>
    <col min="17" max="18" width="14.44140625" style="181" customWidth="1"/>
    <col min="19" max="19" width="13.88671875" style="181" bestFit="1" customWidth="1"/>
    <col min="20" max="20" width="26.77734375" style="181" bestFit="1" customWidth="1"/>
    <col min="21" max="22" width="9.77734375" style="181" bestFit="1" customWidth="1"/>
    <col min="23" max="23" width="26.5546875" style="181" bestFit="1" customWidth="1"/>
    <col min="24" max="24" width="9.88671875" style="181" bestFit="1" customWidth="1"/>
    <col min="25" max="26" width="9.77734375" style="181" bestFit="1" customWidth="1"/>
    <col min="27" max="27" width="3.5546875" style="258" bestFit="1" customWidth="1"/>
    <col min="28" max="30" width="6.5546875" style="216" customWidth="1"/>
    <col min="31" max="31" width="45" style="216" bestFit="1" customWidth="1"/>
    <col min="32" max="36" width="11.33203125" style="216" customWidth="1"/>
    <col min="37" max="37" width="3.5546875" style="258" bestFit="1" customWidth="1"/>
    <col min="38" max="47" width="11.21875" style="181" customWidth="1"/>
    <col min="48" max="16384" width="11.5546875" style="216"/>
  </cols>
  <sheetData>
    <row r="1" spans="1:47" s="194" customFormat="1" ht="62.25" thickBot="1" x14ac:dyDescent="0.35">
      <c r="A1" s="274" t="s">
        <v>189</v>
      </c>
      <c r="B1" s="179" t="s">
        <v>191</v>
      </c>
      <c r="C1" s="180" t="s">
        <v>4</v>
      </c>
      <c r="D1" s="181"/>
      <c r="E1" s="276" t="s">
        <v>219</v>
      </c>
      <c r="F1" s="277"/>
      <c r="G1" s="171" t="s">
        <v>6</v>
      </c>
      <c r="H1" s="171" t="s">
        <v>220</v>
      </c>
      <c r="I1" s="171" t="s">
        <v>221</v>
      </c>
      <c r="J1" s="171" t="s">
        <v>18</v>
      </c>
      <c r="K1" s="171" t="s">
        <v>218</v>
      </c>
      <c r="L1" s="171" t="s">
        <v>11</v>
      </c>
      <c r="M1" s="181"/>
      <c r="N1" s="182" t="s">
        <v>257</v>
      </c>
      <c r="O1" s="180" t="s">
        <v>4</v>
      </c>
      <c r="P1" s="183" t="s">
        <v>258</v>
      </c>
      <c r="Q1" s="184" t="s">
        <v>163</v>
      </c>
      <c r="R1" s="184" t="s">
        <v>240</v>
      </c>
      <c r="S1" s="185"/>
      <c r="T1" s="179" t="s">
        <v>259</v>
      </c>
      <c r="U1" s="185" t="s">
        <v>23</v>
      </c>
      <c r="V1" s="185" t="s">
        <v>164</v>
      </c>
      <c r="W1" s="186" t="s">
        <v>260</v>
      </c>
      <c r="X1" s="184"/>
      <c r="Y1" s="186" t="s">
        <v>23</v>
      </c>
      <c r="Z1" s="186" t="s">
        <v>164</v>
      </c>
      <c r="AA1" s="274" t="s">
        <v>242</v>
      </c>
      <c r="AB1" s="275" t="s">
        <v>1</v>
      </c>
      <c r="AC1" s="275"/>
      <c r="AD1" s="275"/>
      <c r="AE1" s="187" t="s">
        <v>5</v>
      </c>
      <c r="AF1" s="187" t="s">
        <v>9</v>
      </c>
      <c r="AG1" s="188" t="s">
        <v>182</v>
      </c>
      <c r="AH1" s="187" t="s">
        <v>142</v>
      </c>
      <c r="AI1" s="187" t="s">
        <v>143</v>
      </c>
      <c r="AJ1" s="187" t="s">
        <v>11</v>
      </c>
      <c r="AK1" s="274" t="s">
        <v>190</v>
      </c>
      <c r="AL1" s="189" t="s">
        <v>14</v>
      </c>
      <c r="AM1" s="190"/>
      <c r="AN1" s="190"/>
      <c r="AO1" s="191" t="s">
        <v>17</v>
      </c>
      <c r="AP1" s="192"/>
      <c r="AQ1" s="192"/>
      <c r="AR1" s="192"/>
      <c r="AS1" s="192"/>
      <c r="AT1" s="192"/>
      <c r="AU1" s="193"/>
    </row>
    <row r="2" spans="1:47" ht="16.5" thickBot="1" x14ac:dyDescent="0.3">
      <c r="A2" s="274"/>
      <c r="B2" s="195" t="s">
        <v>238</v>
      </c>
      <c r="C2" s="196">
        <v>2108.4</v>
      </c>
      <c r="E2" s="197" t="s">
        <v>215</v>
      </c>
      <c r="F2" s="197"/>
      <c r="G2" s="198">
        <v>25</v>
      </c>
      <c r="H2" s="266">
        <v>34</v>
      </c>
      <c r="I2" s="199">
        <v>105</v>
      </c>
      <c r="J2" s="199">
        <v>192</v>
      </c>
      <c r="K2" s="199">
        <v>9</v>
      </c>
      <c r="L2" s="200">
        <v>365</v>
      </c>
      <c r="N2" s="197" t="s">
        <v>33</v>
      </c>
      <c r="O2" s="201">
        <v>176.4</v>
      </c>
      <c r="P2" s="199" t="s">
        <v>50</v>
      </c>
      <c r="Q2" s="263">
        <v>44773</v>
      </c>
      <c r="R2" s="203" t="s">
        <v>20</v>
      </c>
      <c r="S2" s="204" t="s">
        <v>150</v>
      </c>
      <c r="T2" s="202">
        <v>44773</v>
      </c>
      <c r="U2" s="205">
        <v>1</v>
      </c>
      <c r="V2" s="206">
        <v>0</v>
      </c>
      <c r="W2" s="207" t="s">
        <v>157</v>
      </c>
      <c r="X2" s="202">
        <v>44918</v>
      </c>
      <c r="Y2" s="205">
        <v>1</v>
      </c>
      <c r="Z2" s="206">
        <v>1</v>
      </c>
      <c r="AA2" s="274"/>
      <c r="AB2" s="272" t="s">
        <v>7</v>
      </c>
      <c r="AC2" s="272"/>
      <c r="AD2" s="273" t="s">
        <v>8</v>
      </c>
      <c r="AE2" s="208" t="s">
        <v>34</v>
      </c>
      <c r="AF2" s="209">
        <v>28</v>
      </c>
      <c r="AG2" s="209" t="s">
        <v>261</v>
      </c>
      <c r="AH2" s="210">
        <v>0.83799999999999997</v>
      </c>
      <c r="AI2" s="210">
        <v>0.16200000000000001</v>
      </c>
      <c r="AJ2" s="211">
        <v>1</v>
      </c>
      <c r="AK2" s="274"/>
      <c r="AL2" s="212"/>
      <c r="AM2" s="213" t="s">
        <v>15</v>
      </c>
      <c r="AN2" s="214" t="s">
        <v>16</v>
      </c>
      <c r="AO2" s="215" t="s">
        <v>18</v>
      </c>
      <c r="AP2" s="215" t="s">
        <v>20</v>
      </c>
      <c r="AQ2" s="215" t="s">
        <v>21</v>
      </c>
      <c r="AR2" s="215" t="s">
        <v>22</v>
      </c>
      <c r="AS2" s="215" t="s">
        <v>23</v>
      </c>
      <c r="AT2" s="215" t="s">
        <v>24</v>
      </c>
    </row>
    <row r="3" spans="1:47" ht="16.5" thickBot="1" x14ac:dyDescent="0.3">
      <c r="A3" s="274"/>
      <c r="B3" s="181" t="s">
        <v>216</v>
      </c>
      <c r="C3" s="181" t="s">
        <v>217</v>
      </c>
      <c r="E3" s="197" t="s">
        <v>165</v>
      </c>
      <c r="F3" s="197"/>
      <c r="G3" s="199">
        <v>5</v>
      </c>
      <c r="H3" s="199">
        <v>6.8</v>
      </c>
      <c r="I3" s="181"/>
      <c r="J3" s="199">
        <v>38.4</v>
      </c>
      <c r="K3" s="199">
        <v>1.8</v>
      </c>
      <c r="L3" s="217">
        <v>52</v>
      </c>
      <c r="N3" s="197" t="s">
        <v>36</v>
      </c>
      <c r="O3" s="218">
        <v>184.8</v>
      </c>
      <c r="P3" s="199" t="s">
        <v>50</v>
      </c>
      <c r="Q3" s="263">
        <v>44774</v>
      </c>
      <c r="R3" s="203" t="s">
        <v>20</v>
      </c>
      <c r="S3" s="204" t="s">
        <v>151</v>
      </c>
      <c r="T3" s="219">
        <v>44919</v>
      </c>
      <c r="U3" s="205">
        <v>1</v>
      </c>
      <c r="V3" s="206">
        <v>1</v>
      </c>
      <c r="W3" s="207" t="s">
        <v>156</v>
      </c>
      <c r="X3" s="219">
        <v>44925</v>
      </c>
      <c r="Y3" s="205">
        <v>1</v>
      </c>
      <c r="Z3" s="206">
        <v>1</v>
      </c>
      <c r="AA3" s="274"/>
      <c r="AB3" s="220" t="s">
        <v>2</v>
      </c>
      <c r="AC3" s="220" t="s">
        <v>3</v>
      </c>
      <c r="AD3" s="273"/>
      <c r="AE3" s="208" t="s">
        <v>144</v>
      </c>
      <c r="AF3" s="209">
        <v>28</v>
      </c>
      <c r="AG3" s="209" t="s">
        <v>262</v>
      </c>
      <c r="AH3" s="210">
        <v>0.83799999999999997</v>
      </c>
      <c r="AI3" s="210">
        <v>0.16200000000000001</v>
      </c>
      <c r="AJ3" s="211">
        <v>1</v>
      </c>
      <c r="AK3" s="274"/>
      <c r="AL3" s="212">
        <v>1</v>
      </c>
      <c r="AM3" s="206" t="s">
        <v>18</v>
      </c>
      <c r="AN3" s="221" t="s">
        <v>19</v>
      </c>
      <c r="AO3" s="222" t="s">
        <v>27</v>
      </c>
      <c r="AP3" s="222" t="s">
        <v>28</v>
      </c>
      <c r="AQ3" s="222" t="s">
        <v>29</v>
      </c>
      <c r="AR3" s="222" t="s">
        <v>30</v>
      </c>
      <c r="AS3" s="222" t="s">
        <v>31</v>
      </c>
      <c r="AT3" s="222" t="s">
        <v>32</v>
      </c>
    </row>
    <row r="4" spans="1:47" ht="15.75" thickBot="1" x14ac:dyDescent="0.25">
      <c r="A4" s="274"/>
      <c r="B4" s="223">
        <v>44773</v>
      </c>
      <c r="C4" s="224">
        <v>45137</v>
      </c>
      <c r="E4" s="181" t="s">
        <v>228</v>
      </c>
      <c r="F4" s="181"/>
      <c r="G4" s="181"/>
      <c r="H4" s="181"/>
      <c r="I4" s="181"/>
      <c r="J4" s="181"/>
      <c r="K4" s="181"/>
      <c r="L4" s="181"/>
      <c r="N4" s="197" t="s">
        <v>40</v>
      </c>
      <c r="O4" s="218">
        <v>184.8</v>
      </c>
      <c r="P4" s="199" t="s">
        <v>50</v>
      </c>
      <c r="Q4" s="263">
        <v>44775</v>
      </c>
      <c r="R4" s="203" t="s">
        <v>263</v>
      </c>
      <c r="S4" s="204" t="s">
        <v>152</v>
      </c>
      <c r="T4" s="219">
        <v>44920</v>
      </c>
      <c r="U4" s="205">
        <v>1</v>
      </c>
      <c r="V4" s="206">
        <v>0</v>
      </c>
      <c r="W4" s="207" t="s">
        <v>158</v>
      </c>
      <c r="X4" s="219">
        <v>44971</v>
      </c>
      <c r="Y4" s="205">
        <v>1</v>
      </c>
      <c r="Z4" s="206">
        <v>1</v>
      </c>
      <c r="AA4" s="274"/>
      <c r="AB4" s="225">
        <v>0</v>
      </c>
      <c r="AC4" s="225">
        <v>49</v>
      </c>
      <c r="AD4" s="225">
        <v>25</v>
      </c>
      <c r="AE4" s="208" t="s">
        <v>145</v>
      </c>
      <c r="AF4" s="209">
        <v>27</v>
      </c>
      <c r="AG4" s="209" t="s">
        <v>264</v>
      </c>
      <c r="AH4" s="210">
        <v>0.87</v>
      </c>
      <c r="AI4" s="210">
        <v>0.13</v>
      </c>
      <c r="AJ4" s="211">
        <v>1</v>
      </c>
      <c r="AK4" s="274"/>
      <c r="AL4" s="212">
        <v>2</v>
      </c>
      <c r="AM4" s="206" t="s">
        <v>25</v>
      </c>
      <c r="AN4" s="221" t="s">
        <v>26</v>
      </c>
      <c r="AO4" s="206" t="s">
        <v>18</v>
      </c>
      <c r="AP4" s="206" t="s">
        <v>20</v>
      </c>
      <c r="AQ4" s="206" t="s">
        <v>21</v>
      </c>
      <c r="AR4" s="206" t="s">
        <v>18</v>
      </c>
      <c r="AS4" s="206" t="s">
        <v>25</v>
      </c>
      <c r="AT4" s="206" t="s">
        <v>53</v>
      </c>
    </row>
    <row r="5" spans="1:47" ht="15.75" thickBot="1" x14ac:dyDescent="0.25">
      <c r="A5" s="274"/>
      <c r="B5" s="181"/>
      <c r="C5" s="181"/>
      <c r="E5" s="181"/>
      <c r="F5" s="181"/>
      <c r="G5" s="181"/>
      <c r="H5" s="181"/>
      <c r="I5" s="181"/>
      <c r="J5" s="181"/>
      <c r="K5" s="181"/>
      <c r="L5" s="181"/>
      <c r="N5" s="197" t="s">
        <v>45</v>
      </c>
      <c r="O5" s="218">
        <v>176.4</v>
      </c>
      <c r="P5" s="199" t="s">
        <v>50</v>
      </c>
      <c r="Q5" s="263">
        <v>44776</v>
      </c>
      <c r="R5" s="203" t="s">
        <v>263</v>
      </c>
      <c r="S5" s="204" t="s">
        <v>153</v>
      </c>
      <c r="T5" s="219">
        <v>44926</v>
      </c>
      <c r="U5" s="205">
        <v>1</v>
      </c>
      <c r="V5" s="206">
        <v>1</v>
      </c>
      <c r="W5" s="207" t="s">
        <v>159</v>
      </c>
      <c r="X5" s="226">
        <v>44973</v>
      </c>
      <c r="Y5" s="205">
        <v>1</v>
      </c>
      <c r="Z5" s="206">
        <v>1</v>
      </c>
      <c r="AA5" s="274"/>
      <c r="AB5" s="225">
        <v>50</v>
      </c>
      <c r="AC5" s="225">
        <v>59</v>
      </c>
      <c r="AD5" s="225">
        <v>27</v>
      </c>
      <c r="AE5" s="208" t="s">
        <v>130</v>
      </c>
      <c r="AF5" s="209">
        <v>22</v>
      </c>
      <c r="AG5" s="209" t="s">
        <v>265</v>
      </c>
      <c r="AH5" s="210">
        <v>0.878</v>
      </c>
      <c r="AI5" s="210">
        <v>0.122</v>
      </c>
      <c r="AJ5" s="211">
        <v>1</v>
      </c>
      <c r="AK5" s="274"/>
      <c r="AL5" s="212">
        <v>3</v>
      </c>
      <c r="AM5" s="206" t="s">
        <v>35</v>
      </c>
      <c r="AN5" s="221" t="s">
        <v>26</v>
      </c>
      <c r="AO5" s="206" t="s">
        <v>25</v>
      </c>
      <c r="AP5" s="206"/>
      <c r="AQ5" s="206"/>
      <c r="AR5" s="206" t="s">
        <v>25</v>
      </c>
      <c r="AS5" s="206" t="s">
        <v>35</v>
      </c>
      <c r="AT5" s="206"/>
    </row>
    <row r="6" spans="1:47" ht="15.75" thickBot="1" x14ac:dyDescent="0.25">
      <c r="A6" s="274"/>
      <c r="B6" s="181"/>
      <c r="C6" s="181"/>
      <c r="E6" s="181"/>
      <c r="F6" s="181"/>
      <c r="G6" s="181"/>
      <c r="H6" s="227"/>
      <c r="I6" s="181"/>
      <c r="J6" s="181">
        <v>192</v>
      </c>
      <c r="K6" s="181"/>
      <c r="L6" s="181"/>
      <c r="N6" s="197" t="s">
        <v>47</v>
      </c>
      <c r="O6" s="218">
        <v>176.4</v>
      </c>
      <c r="P6" s="199" t="s">
        <v>50</v>
      </c>
      <c r="Q6" s="263">
        <v>44777</v>
      </c>
      <c r="R6" s="203" t="s">
        <v>263</v>
      </c>
      <c r="S6" s="204" t="s">
        <v>154</v>
      </c>
      <c r="T6" s="219">
        <v>45010</v>
      </c>
      <c r="U6" s="205">
        <v>1</v>
      </c>
      <c r="V6" s="206">
        <v>1</v>
      </c>
      <c r="AA6" s="274"/>
      <c r="AB6" s="225">
        <v>60</v>
      </c>
      <c r="AC6" s="225">
        <v>65</v>
      </c>
      <c r="AD6" s="225">
        <v>30</v>
      </c>
      <c r="AE6" s="208" t="s">
        <v>130</v>
      </c>
      <c r="AF6" s="209">
        <v>26</v>
      </c>
      <c r="AG6" s="209" t="s">
        <v>266</v>
      </c>
      <c r="AH6" s="210">
        <v>0.871</v>
      </c>
      <c r="AI6" s="210">
        <v>0.129</v>
      </c>
      <c r="AJ6" s="211">
        <v>1</v>
      </c>
      <c r="AK6" s="274"/>
      <c r="AL6" s="212">
        <v>4</v>
      </c>
      <c r="AM6" s="206" t="s">
        <v>37</v>
      </c>
      <c r="AN6" s="228" t="s">
        <v>38</v>
      </c>
      <c r="AO6" s="206" t="s">
        <v>35</v>
      </c>
      <c r="AP6" s="206"/>
      <c r="AQ6" s="206"/>
      <c r="AR6" s="206" t="s">
        <v>35</v>
      </c>
      <c r="AS6" s="206" t="s">
        <v>37</v>
      </c>
      <c r="AT6" s="206"/>
    </row>
    <row r="7" spans="1:47" ht="15.75" thickBot="1" x14ac:dyDescent="0.25">
      <c r="A7" s="274"/>
      <c r="B7" s="181"/>
      <c r="C7" s="181"/>
      <c r="E7" s="181"/>
      <c r="F7" s="181"/>
      <c r="G7" s="181"/>
      <c r="H7" s="181"/>
      <c r="I7" s="181"/>
      <c r="J7" s="181"/>
      <c r="K7" s="181"/>
      <c r="L7" s="181"/>
      <c r="N7" s="197" t="s">
        <v>49</v>
      </c>
      <c r="O7" s="218">
        <v>168</v>
      </c>
      <c r="P7" s="199" t="s">
        <v>50</v>
      </c>
      <c r="Q7" s="263">
        <v>44778</v>
      </c>
      <c r="R7" s="203" t="s">
        <v>263</v>
      </c>
      <c r="S7" s="204" t="s">
        <v>155</v>
      </c>
      <c r="T7" s="219">
        <v>45013</v>
      </c>
      <c r="U7" s="205">
        <v>1</v>
      </c>
      <c r="V7" s="206">
        <v>1</v>
      </c>
      <c r="AA7" s="274"/>
      <c r="AE7" s="208" t="s">
        <v>131</v>
      </c>
      <c r="AF7" s="209">
        <v>22</v>
      </c>
      <c r="AG7" s="209" t="s">
        <v>267</v>
      </c>
      <c r="AH7" s="210">
        <v>0.878</v>
      </c>
      <c r="AI7" s="210">
        <v>0.122</v>
      </c>
      <c r="AJ7" s="211">
        <v>1</v>
      </c>
      <c r="AK7" s="274"/>
      <c r="AL7" s="212">
        <v>5</v>
      </c>
      <c r="AM7" s="206" t="s">
        <v>42</v>
      </c>
      <c r="AN7" s="228" t="s">
        <v>43</v>
      </c>
      <c r="AO7" s="206" t="s">
        <v>37</v>
      </c>
      <c r="AP7" s="206"/>
      <c r="AQ7" s="206"/>
      <c r="AR7" s="206" t="s">
        <v>37</v>
      </c>
      <c r="AS7" s="206" t="s">
        <v>42</v>
      </c>
      <c r="AT7" s="206"/>
    </row>
    <row r="8" spans="1:47" ht="15.75" thickBot="1" x14ac:dyDescent="0.25">
      <c r="A8" s="274"/>
      <c r="B8" s="229"/>
      <c r="E8" s="230" t="s">
        <v>230</v>
      </c>
      <c r="F8" s="231"/>
      <c r="G8" s="231" t="s">
        <v>6</v>
      </c>
      <c r="H8" s="231" t="s">
        <v>220</v>
      </c>
      <c r="I8" s="231" t="s">
        <v>221</v>
      </c>
      <c r="J8" s="231" t="s">
        <v>18</v>
      </c>
      <c r="K8" s="232" t="s">
        <v>218</v>
      </c>
      <c r="L8" s="231" t="s">
        <v>11</v>
      </c>
      <c r="N8" s="197" t="s">
        <v>51</v>
      </c>
      <c r="O8" s="218">
        <v>159.6</v>
      </c>
      <c r="P8" s="199" t="s">
        <v>50</v>
      </c>
      <c r="Q8" s="263">
        <v>44779</v>
      </c>
      <c r="R8" s="203" t="s">
        <v>263</v>
      </c>
      <c r="S8" s="233" t="s">
        <v>192</v>
      </c>
      <c r="T8" s="219">
        <v>45046</v>
      </c>
      <c r="U8" s="205">
        <v>0</v>
      </c>
      <c r="V8" s="206">
        <v>0</v>
      </c>
      <c r="Y8" s="234"/>
      <c r="Z8" s="234"/>
      <c r="AA8" s="274"/>
      <c r="AE8" s="208" t="s">
        <v>131</v>
      </c>
      <c r="AF8" s="209">
        <v>23</v>
      </c>
      <c r="AG8" s="209" t="s">
        <v>268</v>
      </c>
      <c r="AH8" s="210">
        <v>0.876</v>
      </c>
      <c r="AI8" s="210">
        <v>0.124</v>
      </c>
      <c r="AJ8" s="211">
        <v>1</v>
      </c>
      <c r="AK8" s="274"/>
      <c r="AL8" s="212">
        <v>6</v>
      </c>
      <c r="AM8" s="206" t="s">
        <v>6</v>
      </c>
      <c r="AN8" s="228" t="s">
        <v>38</v>
      </c>
      <c r="AO8" s="206" t="s">
        <v>42</v>
      </c>
      <c r="AP8" s="206"/>
      <c r="AQ8" s="206"/>
      <c r="AR8" s="206" t="s">
        <v>42</v>
      </c>
      <c r="AS8" s="206" t="s">
        <v>6</v>
      </c>
      <c r="AT8" s="206"/>
    </row>
    <row r="9" spans="1:47" ht="15.75" thickBot="1" x14ac:dyDescent="0.25">
      <c r="A9" s="274"/>
      <c r="B9" s="235"/>
      <c r="C9" s="235"/>
      <c r="E9" s="236" t="s">
        <v>18</v>
      </c>
      <c r="F9" s="237"/>
      <c r="G9" s="238"/>
      <c r="H9" s="238"/>
      <c r="I9" s="239"/>
      <c r="J9" s="238">
        <v>192</v>
      </c>
      <c r="K9" s="239"/>
      <c r="L9" s="240">
        <v>192</v>
      </c>
      <c r="N9" s="197" t="s">
        <v>52</v>
      </c>
      <c r="O9" s="218">
        <v>176.4</v>
      </c>
      <c r="P9" s="199" t="s">
        <v>50</v>
      </c>
      <c r="Q9" s="263">
        <v>44780</v>
      </c>
      <c r="R9" s="203" t="s">
        <v>20</v>
      </c>
      <c r="S9" s="204" t="s">
        <v>148</v>
      </c>
      <c r="T9" s="219">
        <v>45051</v>
      </c>
      <c r="U9" s="205">
        <v>0</v>
      </c>
      <c r="V9" s="206">
        <v>1</v>
      </c>
      <c r="AA9" s="274"/>
      <c r="AE9" s="208" t="s">
        <v>131</v>
      </c>
      <c r="AF9" s="209">
        <v>24</v>
      </c>
      <c r="AG9" s="209" t="s">
        <v>269</v>
      </c>
      <c r="AH9" s="210">
        <v>0.874</v>
      </c>
      <c r="AI9" s="210">
        <v>0.126</v>
      </c>
      <c r="AJ9" s="211">
        <v>1</v>
      </c>
      <c r="AK9" s="274"/>
      <c r="AL9" s="212">
        <v>7</v>
      </c>
      <c r="AM9" s="206" t="s">
        <v>20</v>
      </c>
      <c r="AN9" s="221" t="s">
        <v>26</v>
      </c>
      <c r="AO9" s="206"/>
      <c r="AP9" s="206"/>
      <c r="AQ9" s="206"/>
      <c r="AR9" s="206" t="s">
        <v>6</v>
      </c>
      <c r="AS9" s="206"/>
      <c r="AT9" s="206"/>
    </row>
    <row r="10" spans="1:47" ht="15.75" thickBot="1" x14ac:dyDescent="0.25">
      <c r="A10" s="274"/>
      <c r="B10" s="235"/>
      <c r="C10" s="241"/>
      <c r="E10" s="236" t="s">
        <v>20</v>
      </c>
      <c r="F10" s="237"/>
      <c r="G10" s="238"/>
      <c r="H10" s="242"/>
      <c r="I10" s="238">
        <v>105</v>
      </c>
      <c r="J10" s="243"/>
      <c r="K10" s="243"/>
      <c r="L10" s="240">
        <v>105</v>
      </c>
      <c r="N10" s="197" t="s">
        <v>54</v>
      </c>
      <c r="O10" s="218">
        <v>184.8</v>
      </c>
      <c r="P10" s="199" t="s">
        <v>50</v>
      </c>
      <c r="Q10" s="263">
        <v>44781</v>
      </c>
      <c r="R10" s="203" t="s">
        <v>20</v>
      </c>
      <c r="S10" s="204" t="s">
        <v>149</v>
      </c>
      <c r="T10" s="226">
        <v>45062</v>
      </c>
      <c r="U10" s="205">
        <v>0</v>
      </c>
      <c r="V10" s="206">
        <v>1</v>
      </c>
      <c r="AA10" s="274"/>
      <c r="AE10" s="208" t="s">
        <v>131</v>
      </c>
      <c r="AF10" s="209">
        <v>26</v>
      </c>
      <c r="AG10" s="209" t="s">
        <v>270</v>
      </c>
      <c r="AH10" s="210">
        <v>0.871</v>
      </c>
      <c r="AI10" s="210">
        <v>0.129</v>
      </c>
      <c r="AJ10" s="211">
        <v>1</v>
      </c>
      <c r="AK10" s="274"/>
      <c r="AL10" s="212">
        <v>8</v>
      </c>
      <c r="AM10" s="206" t="s">
        <v>21</v>
      </c>
      <c r="AN10" s="221" t="s">
        <v>26</v>
      </c>
      <c r="AO10" s="206"/>
      <c r="AP10" s="206"/>
      <c r="AQ10" s="206"/>
      <c r="AR10" s="206" t="s">
        <v>22</v>
      </c>
      <c r="AS10" s="206"/>
      <c r="AT10" s="206"/>
    </row>
    <row r="11" spans="1:47" ht="15.75" thickBot="1" x14ac:dyDescent="0.25">
      <c r="A11" s="274"/>
      <c r="B11" s="235"/>
      <c r="C11" s="235"/>
      <c r="E11" s="236" t="s">
        <v>229</v>
      </c>
      <c r="F11" s="237"/>
      <c r="G11" s="238"/>
      <c r="H11" s="244">
        <v>32</v>
      </c>
      <c r="I11" s="245"/>
      <c r="J11" s="245"/>
      <c r="K11" s="245"/>
      <c r="L11" s="240">
        <v>32</v>
      </c>
      <c r="N11" s="197" t="s">
        <v>55</v>
      </c>
      <c r="O11" s="218">
        <v>151.19999999999999</v>
      </c>
      <c r="P11" s="199" t="s">
        <v>39</v>
      </c>
      <c r="Q11" s="263">
        <v>44829</v>
      </c>
      <c r="R11" s="203" t="s">
        <v>20</v>
      </c>
      <c r="S11" s="246" t="s">
        <v>227</v>
      </c>
      <c r="T11" s="226">
        <v>45052</v>
      </c>
      <c r="U11" s="205">
        <v>0</v>
      </c>
      <c r="V11" s="206">
        <v>1</v>
      </c>
      <c r="AA11" s="274"/>
      <c r="AE11" s="208" t="s">
        <v>132</v>
      </c>
      <c r="AF11" s="209">
        <v>22</v>
      </c>
      <c r="AG11" s="209" t="s">
        <v>271</v>
      </c>
      <c r="AH11" s="210">
        <v>0.878</v>
      </c>
      <c r="AI11" s="210">
        <v>0.122</v>
      </c>
      <c r="AJ11" s="211">
        <v>1</v>
      </c>
      <c r="AK11" s="274"/>
      <c r="AL11" s="212">
        <v>9</v>
      </c>
      <c r="AM11" s="206" t="s">
        <v>22</v>
      </c>
      <c r="AN11" s="221" t="s">
        <v>26</v>
      </c>
    </row>
    <row r="12" spans="1:47" ht="15.75" thickBot="1" x14ac:dyDescent="0.25">
      <c r="A12" s="274"/>
      <c r="B12" s="235"/>
      <c r="E12" s="236" t="s">
        <v>21</v>
      </c>
      <c r="F12" s="237"/>
      <c r="G12" s="238"/>
      <c r="H12" s="242"/>
      <c r="I12" s="239"/>
      <c r="J12" s="239"/>
      <c r="K12" s="238">
        <v>7</v>
      </c>
      <c r="L12" s="240">
        <v>7</v>
      </c>
      <c r="N12" s="197" t="s">
        <v>56</v>
      </c>
      <c r="O12" s="218">
        <v>184.8</v>
      </c>
      <c r="P12" s="199" t="s">
        <v>39</v>
      </c>
      <c r="Q12" s="263">
        <v>44830</v>
      </c>
      <c r="R12" s="203" t="s">
        <v>20</v>
      </c>
      <c r="AA12" s="274"/>
      <c r="AE12" s="208" t="s">
        <v>132</v>
      </c>
      <c r="AF12" s="209">
        <v>26</v>
      </c>
      <c r="AG12" s="209" t="s">
        <v>272</v>
      </c>
      <c r="AH12" s="210">
        <v>0.871</v>
      </c>
      <c r="AI12" s="210">
        <v>0.129</v>
      </c>
      <c r="AJ12" s="211">
        <v>1</v>
      </c>
      <c r="AK12" s="274"/>
      <c r="AL12" s="212">
        <v>10</v>
      </c>
      <c r="AM12" s="206" t="s">
        <v>53</v>
      </c>
      <c r="AN12" s="228" t="s">
        <v>43</v>
      </c>
    </row>
    <row r="13" spans="1:47" ht="15.75" thickBot="1" x14ac:dyDescent="0.25">
      <c r="A13" s="274"/>
      <c r="E13" s="236" t="s">
        <v>22</v>
      </c>
      <c r="F13" s="237"/>
      <c r="G13" s="238"/>
      <c r="H13" s="238">
        <v>2</v>
      </c>
      <c r="I13" s="238"/>
      <c r="J13" s="238"/>
      <c r="K13" s="238">
        <v>2</v>
      </c>
      <c r="L13" s="240">
        <v>4</v>
      </c>
      <c r="N13" s="197" t="s">
        <v>57</v>
      </c>
      <c r="O13" s="247">
        <v>184.8</v>
      </c>
      <c r="P13" s="199" t="s">
        <v>39</v>
      </c>
      <c r="Q13" s="263">
        <v>44831</v>
      </c>
      <c r="R13" s="203" t="s">
        <v>263</v>
      </c>
      <c r="AA13" s="274"/>
      <c r="AE13" s="208" t="s">
        <v>41</v>
      </c>
      <c r="AF13" s="209">
        <v>27</v>
      </c>
      <c r="AG13" s="209" t="s">
        <v>273</v>
      </c>
      <c r="AH13" s="210">
        <v>0.83799999999999997</v>
      </c>
      <c r="AI13" s="210">
        <v>0.16200000000000001</v>
      </c>
      <c r="AJ13" s="211">
        <v>1</v>
      </c>
      <c r="AK13" s="274"/>
    </row>
    <row r="14" spans="1:47" ht="16.5" thickBot="1" x14ac:dyDescent="0.3">
      <c r="A14" s="274"/>
      <c r="E14" s="230" t="s">
        <v>234</v>
      </c>
      <c r="F14" s="248"/>
      <c r="G14" s="249">
        <v>25</v>
      </c>
      <c r="H14" s="250">
        <v>34</v>
      </c>
      <c r="I14" s="250">
        <v>105</v>
      </c>
      <c r="J14" s="250">
        <v>192</v>
      </c>
      <c r="K14" s="250">
        <v>9</v>
      </c>
      <c r="L14" s="251">
        <v>365</v>
      </c>
      <c r="N14" s="252" t="s">
        <v>147</v>
      </c>
      <c r="O14" s="253">
        <v>2108.4</v>
      </c>
      <c r="P14" s="199" t="s">
        <v>39</v>
      </c>
      <c r="Q14" s="263">
        <v>44832</v>
      </c>
      <c r="R14" s="203" t="s">
        <v>263</v>
      </c>
      <c r="T14" s="254"/>
      <c r="X14" s="254"/>
      <c r="AA14" s="274"/>
      <c r="AE14" s="208" t="s">
        <v>241</v>
      </c>
      <c r="AF14" s="209">
        <v>28</v>
      </c>
      <c r="AG14" s="209" t="s">
        <v>274</v>
      </c>
      <c r="AH14" s="210">
        <v>0.83799999999999997</v>
      </c>
      <c r="AI14" s="210">
        <v>0.16200000000000001</v>
      </c>
      <c r="AJ14" s="211">
        <v>1</v>
      </c>
      <c r="AK14" s="274"/>
    </row>
    <row r="15" spans="1:47" ht="15.75" thickBot="1" x14ac:dyDescent="0.25">
      <c r="A15" s="274"/>
      <c r="E15" s="255" t="s">
        <v>235</v>
      </c>
      <c r="F15" s="256"/>
      <c r="G15" s="238" t="s">
        <v>231</v>
      </c>
      <c r="H15" s="238" t="s">
        <v>231</v>
      </c>
      <c r="I15" s="238" t="s">
        <v>232</v>
      </c>
      <c r="J15" s="238" t="s">
        <v>231</v>
      </c>
      <c r="K15" s="238" t="s">
        <v>232</v>
      </c>
      <c r="L15" s="240"/>
      <c r="P15" s="199" t="s">
        <v>39</v>
      </c>
      <c r="Q15" s="263">
        <v>44833</v>
      </c>
      <c r="R15" s="203" t="s">
        <v>263</v>
      </c>
      <c r="T15" s="254"/>
      <c r="X15" s="254"/>
      <c r="AA15" s="274"/>
      <c r="AH15" s="257"/>
      <c r="AI15" s="257"/>
      <c r="AK15" s="274"/>
    </row>
    <row r="16" spans="1:47" ht="15.75" thickBot="1" x14ac:dyDescent="0.25">
      <c r="A16" s="274"/>
      <c r="E16" s="230" t="s">
        <v>233</v>
      </c>
      <c r="F16" s="248"/>
      <c r="G16" s="249">
        <v>210</v>
      </c>
      <c r="H16" s="250">
        <v>285.60000000000002</v>
      </c>
      <c r="I16" s="250"/>
      <c r="J16" s="250">
        <v>1612.8000000000002</v>
      </c>
      <c r="K16" s="250"/>
      <c r="L16" s="251">
        <v>2108.4</v>
      </c>
      <c r="P16" s="199" t="s">
        <v>39</v>
      </c>
      <c r="Q16" s="263">
        <v>44834</v>
      </c>
      <c r="R16" s="203" t="s">
        <v>263</v>
      </c>
      <c r="T16" s="254"/>
      <c r="X16" s="254"/>
      <c r="AA16" s="274"/>
      <c r="AH16" s="257"/>
      <c r="AI16" s="257"/>
      <c r="AK16" s="274"/>
    </row>
    <row r="17" spans="6:35" ht="15.75" thickBot="1" x14ac:dyDescent="0.25">
      <c r="J17" s="259"/>
      <c r="P17" s="199" t="s">
        <v>39</v>
      </c>
      <c r="Q17" s="263">
        <v>44835</v>
      </c>
      <c r="R17" s="203" t="s">
        <v>263</v>
      </c>
      <c r="T17" s="254"/>
      <c r="X17" s="254"/>
      <c r="AH17" s="257"/>
      <c r="AI17" s="257"/>
    </row>
    <row r="18" spans="6:35" ht="15.75" thickBot="1" x14ac:dyDescent="0.25">
      <c r="P18" s="199" t="s">
        <v>39</v>
      </c>
      <c r="Q18" s="263">
        <v>44836</v>
      </c>
      <c r="R18" s="203" t="s">
        <v>20</v>
      </c>
      <c r="T18" s="254"/>
      <c r="AH18" s="257"/>
      <c r="AI18" s="257"/>
    </row>
    <row r="19" spans="6:35" ht="15.75" thickBot="1" x14ac:dyDescent="0.25">
      <c r="F19" s="216" t="s">
        <v>6</v>
      </c>
      <c r="G19" s="216" t="s">
        <v>2</v>
      </c>
      <c r="H19" s="216" t="s">
        <v>3</v>
      </c>
      <c r="I19" s="216" t="s">
        <v>215</v>
      </c>
      <c r="J19" s="216" t="s">
        <v>239</v>
      </c>
      <c r="P19" s="199" t="s">
        <v>39</v>
      </c>
      <c r="Q19" s="263">
        <v>44837</v>
      </c>
      <c r="R19" s="203" t="s">
        <v>20</v>
      </c>
      <c r="T19" s="254"/>
      <c r="AH19" s="257"/>
      <c r="AI19" s="257"/>
    </row>
    <row r="20" spans="6:35" ht="15.75" thickBot="1" x14ac:dyDescent="0.25">
      <c r="F20" s="216" t="s">
        <v>50</v>
      </c>
      <c r="G20" s="264">
        <v>44773</v>
      </c>
      <c r="H20" s="265">
        <v>44781</v>
      </c>
      <c r="I20" s="261">
        <v>9</v>
      </c>
      <c r="J20" s="262">
        <v>9</v>
      </c>
      <c r="P20" s="199" t="s">
        <v>39</v>
      </c>
      <c r="Q20" s="263">
        <v>44838</v>
      </c>
      <c r="R20" s="203" t="s">
        <v>263</v>
      </c>
      <c r="T20" s="254"/>
      <c r="AH20" s="257"/>
      <c r="AI20" s="257"/>
    </row>
    <row r="21" spans="6:35" ht="15.75" thickBot="1" x14ac:dyDescent="0.25">
      <c r="F21" s="216" t="s">
        <v>39</v>
      </c>
      <c r="G21" s="264">
        <v>44829</v>
      </c>
      <c r="H21" s="265">
        <v>44844</v>
      </c>
      <c r="I21" s="261">
        <v>16</v>
      </c>
      <c r="J21" s="262">
        <v>25</v>
      </c>
      <c r="P21" s="199" t="s">
        <v>39</v>
      </c>
      <c r="Q21" s="263">
        <v>44839</v>
      </c>
      <c r="R21" s="203" t="s">
        <v>263</v>
      </c>
      <c r="T21" s="254"/>
      <c r="AH21" s="257"/>
      <c r="AI21" s="257"/>
    </row>
    <row r="22" spans="6:35" ht="15.75" thickBot="1" x14ac:dyDescent="0.25">
      <c r="F22" s="216" t="s">
        <v>44</v>
      </c>
      <c r="G22" s="264">
        <v>44913</v>
      </c>
      <c r="H22" s="265">
        <v>44928</v>
      </c>
      <c r="I22" s="261">
        <v>16</v>
      </c>
      <c r="J22" s="262">
        <v>41</v>
      </c>
      <c r="P22" s="199" t="s">
        <v>39</v>
      </c>
      <c r="Q22" s="263">
        <v>44840</v>
      </c>
      <c r="R22" s="203" t="s">
        <v>263</v>
      </c>
      <c r="T22" s="254"/>
      <c r="AH22" s="257"/>
      <c r="AI22" s="257"/>
    </row>
    <row r="23" spans="6:35" ht="15.75" thickBot="1" x14ac:dyDescent="0.25">
      <c r="F23" s="216" t="s">
        <v>46</v>
      </c>
      <c r="G23" s="264">
        <v>44962</v>
      </c>
      <c r="H23" s="265">
        <v>44977</v>
      </c>
      <c r="I23" s="261">
        <v>16</v>
      </c>
      <c r="J23" s="262">
        <v>57</v>
      </c>
      <c r="P23" s="199" t="s">
        <v>39</v>
      </c>
      <c r="Q23" s="263">
        <v>44841</v>
      </c>
      <c r="R23" s="203" t="s">
        <v>263</v>
      </c>
      <c r="T23" s="254"/>
      <c r="AH23" s="257"/>
      <c r="AI23" s="257"/>
    </row>
    <row r="24" spans="6:35" ht="15.75" thickBot="1" x14ac:dyDescent="0.25">
      <c r="F24" s="216" t="s">
        <v>48</v>
      </c>
      <c r="G24" s="264">
        <v>45004</v>
      </c>
      <c r="H24" s="265">
        <v>45019</v>
      </c>
      <c r="I24" s="261">
        <v>16</v>
      </c>
      <c r="J24" s="262">
        <v>73</v>
      </c>
      <c r="P24" s="199" t="s">
        <v>39</v>
      </c>
      <c r="Q24" s="263">
        <v>44842</v>
      </c>
      <c r="R24" s="203" t="s">
        <v>263</v>
      </c>
      <c r="T24" s="254"/>
      <c r="AH24" s="257"/>
      <c r="AI24" s="257"/>
    </row>
    <row r="25" spans="6:35" ht="15.75" thickBot="1" x14ac:dyDescent="0.25">
      <c r="F25" s="216" t="s">
        <v>50</v>
      </c>
      <c r="G25" s="264">
        <v>45109</v>
      </c>
      <c r="H25" s="265">
        <v>45137</v>
      </c>
      <c r="I25" s="261">
        <v>29</v>
      </c>
      <c r="J25" s="262">
        <v>102</v>
      </c>
      <c r="P25" s="199" t="s">
        <v>39</v>
      </c>
      <c r="Q25" s="263">
        <v>44843</v>
      </c>
      <c r="R25" s="203" t="s">
        <v>20</v>
      </c>
      <c r="T25" s="254"/>
      <c r="AH25" s="257"/>
      <c r="AI25" s="257"/>
    </row>
    <row r="26" spans="6:35" ht="15.75" thickBot="1" x14ac:dyDescent="0.25">
      <c r="P26" s="199" t="s">
        <v>39</v>
      </c>
      <c r="Q26" s="263">
        <v>44844</v>
      </c>
      <c r="R26" s="203" t="s">
        <v>20</v>
      </c>
      <c r="T26" s="254"/>
      <c r="AH26" s="257"/>
      <c r="AI26" s="257"/>
    </row>
    <row r="27" spans="6:35" ht="15.75" thickBot="1" x14ac:dyDescent="0.25">
      <c r="G27" s="260"/>
      <c r="P27" s="199" t="s">
        <v>44</v>
      </c>
      <c r="Q27" s="263">
        <v>44913</v>
      </c>
      <c r="R27" s="203" t="s">
        <v>20</v>
      </c>
      <c r="T27" s="254"/>
      <c r="AH27" s="257"/>
      <c r="AI27" s="257"/>
    </row>
    <row r="28" spans="6:35" ht="15.75" thickBot="1" x14ac:dyDescent="0.25">
      <c r="G28" s="260"/>
      <c r="P28" s="199" t="s">
        <v>44</v>
      </c>
      <c r="Q28" s="263">
        <v>44914</v>
      </c>
      <c r="R28" s="203" t="s">
        <v>20</v>
      </c>
      <c r="T28" s="254"/>
      <c r="AH28" s="257"/>
      <c r="AI28" s="257"/>
    </row>
    <row r="29" spans="6:35" ht="15.75" thickBot="1" x14ac:dyDescent="0.25">
      <c r="G29" s="260"/>
      <c r="P29" s="199" t="s">
        <v>44</v>
      </c>
      <c r="Q29" s="263">
        <v>44915</v>
      </c>
      <c r="R29" s="203" t="s">
        <v>263</v>
      </c>
      <c r="T29" s="254"/>
      <c r="AH29" s="257"/>
      <c r="AI29" s="257"/>
    </row>
    <row r="30" spans="6:35" ht="15.75" thickBot="1" x14ac:dyDescent="0.25">
      <c r="G30" s="260"/>
      <c r="P30" s="199" t="s">
        <v>44</v>
      </c>
      <c r="Q30" s="263">
        <v>44916</v>
      </c>
      <c r="R30" s="203" t="s">
        <v>263</v>
      </c>
      <c r="T30" s="254"/>
    </row>
    <row r="31" spans="6:35" ht="15.75" thickBot="1" x14ac:dyDescent="0.25">
      <c r="G31" s="260"/>
      <c r="P31" s="199" t="s">
        <v>44</v>
      </c>
      <c r="Q31" s="263">
        <v>44917</v>
      </c>
      <c r="R31" s="203" t="s">
        <v>263</v>
      </c>
      <c r="T31" s="254"/>
    </row>
    <row r="32" spans="6:35" ht="15.75" thickBot="1" x14ac:dyDescent="0.25">
      <c r="G32" s="260"/>
      <c r="P32" s="199" t="s">
        <v>44</v>
      </c>
      <c r="Q32" s="263">
        <v>44918</v>
      </c>
      <c r="R32" s="203" t="s">
        <v>263</v>
      </c>
      <c r="T32" s="254"/>
    </row>
    <row r="33" spans="7:20" ht="15.75" thickBot="1" x14ac:dyDescent="0.25">
      <c r="G33" s="260"/>
      <c r="P33" s="199" t="s">
        <v>44</v>
      </c>
      <c r="Q33" s="263">
        <v>44919</v>
      </c>
      <c r="R33" s="203" t="s">
        <v>263</v>
      </c>
      <c r="T33" s="254"/>
    </row>
    <row r="34" spans="7:20" ht="15.75" thickBot="1" x14ac:dyDescent="0.25">
      <c r="G34" s="260"/>
      <c r="P34" s="199" t="s">
        <v>44</v>
      </c>
      <c r="Q34" s="263">
        <v>44920</v>
      </c>
      <c r="R34" s="203" t="s">
        <v>20</v>
      </c>
      <c r="T34" s="254"/>
    </row>
    <row r="35" spans="7:20" ht="15.75" thickBot="1" x14ac:dyDescent="0.25">
      <c r="G35" s="260"/>
      <c r="P35" s="199" t="s">
        <v>44</v>
      </c>
      <c r="Q35" s="263">
        <v>44921</v>
      </c>
      <c r="R35" s="203" t="s">
        <v>20</v>
      </c>
      <c r="T35" s="254"/>
    </row>
    <row r="36" spans="7:20" ht="15.75" thickBot="1" x14ac:dyDescent="0.25">
      <c r="G36" s="260"/>
      <c r="P36" s="199" t="s">
        <v>44</v>
      </c>
      <c r="Q36" s="263">
        <v>44922</v>
      </c>
      <c r="R36" s="203" t="s">
        <v>263</v>
      </c>
      <c r="T36" s="254"/>
    </row>
    <row r="37" spans="7:20" ht="15.75" thickBot="1" x14ac:dyDescent="0.25">
      <c r="G37" s="260"/>
      <c r="P37" s="199" t="s">
        <v>44</v>
      </c>
      <c r="Q37" s="263">
        <v>44923</v>
      </c>
      <c r="R37" s="203" t="s">
        <v>263</v>
      </c>
      <c r="T37" s="254"/>
    </row>
    <row r="38" spans="7:20" ht="15.75" thickBot="1" x14ac:dyDescent="0.25">
      <c r="G38" s="260"/>
      <c r="P38" s="199" t="s">
        <v>44</v>
      </c>
      <c r="Q38" s="263">
        <v>44924</v>
      </c>
      <c r="R38" s="203" t="s">
        <v>263</v>
      </c>
      <c r="T38" s="254"/>
    </row>
    <row r="39" spans="7:20" ht="15.75" thickBot="1" x14ac:dyDescent="0.25">
      <c r="G39" s="260"/>
      <c r="P39" s="199" t="s">
        <v>44</v>
      </c>
      <c r="Q39" s="263">
        <v>44925</v>
      </c>
      <c r="R39" s="203" t="s">
        <v>263</v>
      </c>
      <c r="T39" s="254"/>
    </row>
    <row r="40" spans="7:20" ht="15.75" thickBot="1" x14ac:dyDescent="0.25">
      <c r="G40" s="260"/>
      <c r="P40" s="199" t="s">
        <v>44</v>
      </c>
      <c r="Q40" s="263">
        <v>44926</v>
      </c>
      <c r="R40" s="203" t="s">
        <v>263</v>
      </c>
      <c r="T40" s="254"/>
    </row>
    <row r="41" spans="7:20" ht="15.75" thickBot="1" x14ac:dyDescent="0.25">
      <c r="G41" s="260"/>
      <c r="P41" s="199" t="s">
        <v>44</v>
      </c>
      <c r="Q41" s="263">
        <v>44927</v>
      </c>
      <c r="R41" s="203" t="s">
        <v>20</v>
      </c>
      <c r="T41" s="254"/>
    </row>
    <row r="42" spans="7:20" ht="15.75" thickBot="1" x14ac:dyDescent="0.25">
      <c r="G42" s="260"/>
      <c r="P42" s="199" t="s">
        <v>44</v>
      </c>
      <c r="Q42" s="263">
        <v>44928</v>
      </c>
      <c r="R42" s="203" t="s">
        <v>20</v>
      </c>
      <c r="T42" s="254"/>
    </row>
    <row r="43" spans="7:20" ht="15.75" thickBot="1" x14ac:dyDescent="0.25">
      <c r="G43" s="260"/>
      <c r="P43" s="199" t="s">
        <v>46</v>
      </c>
      <c r="Q43" s="263">
        <v>44962</v>
      </c>
      <c r="R43" s="203" t="s">
        <v>20</v>
      </c>
      <c r="T43" s="254"/>
    </row>
    <row r="44" spans="7:20" ht="15.75" thickBot="1" x14ac:dyDescent="0.25">
      <c r="G44" s="260"/>
      <c r="P44" s="199" t="s">
        <v>46</v>
      </c>
      <c r="Q44" s="263">
        <v>44963</v>
      </c>
      <c r="R44" s="203" t="s">
        <v>20</v>
      </c>
      <c r="T44" s="254"/>
    </row>
    <row r="45" spans="7:20" ht="15.75" thickBot="1" x14ac:dyDescent="0.25">
      <c r="G45" s="260"/>
      <c r="P45" s="199" t="s">
        <v>46</v>
      </c>
      <c r="Q45" s="263">
        <v>44964</v>
      </c>
      <c r="R45" s="203" t="s">
        <v>263</v>
      </c>
      <c r="T45" s="254"/>
    </row>
    <row r="46" spans="7:20" ht="15.75" thickBot="1" x14ac:dyDescent="0.25">
      <c r="G46" s="260"/>
      <c r="P46" s="199" t="s">
        <v>46</v>
      </c>
      <c r="Q46" s="263">
        <v>44965</v>
      </c>
      <c r="R46" s="203" t="s">
        <v>263</v>
      </c>
      <c r="T46" s="254"/>
    </row>
    <row r="47" spans="7:20" ht="15.75" thickBot="1" x14ac:dyDescent="0.25">
      <c r="G47" s="260"/>
      <c r="P47" s="199" t="s">
        <v>46</v>
      </c>
      <c r="Q47" s="263">
        <v>44966</v>
      </c>
      <c r="R47" s="203" t="s">
        <v>263</v>
      </c>
      <c r="T47" s="254"/>
    </row>
    <row r="48" spans="7:20" ht="15.75" thickBot="1" x14ac:dyDescent="0.25">
      <c r="G48" s="260"/>
      <c r="P48" s="199" t="s">
        <v>46</v>
      </c>
      <c r="Q48" s="263">
        <v>44967</v>
      </c>
      <c r="R48" s="203" t="s">
        <v>263</v>
      </c>
      <c r="T48" s="254"/>
    </row>
    <row r="49" spans="7:20" ht="15.75" thickBot="1" x14ac:dyDescent="0.25">
      <c r="G49" s="260"/>
      <c r="P49" s="199" t="s">
        <v>46</v>
      </c>
      <c r="Q49" s="263">
        <v>44968</v>
      </c>
      <c r="R49" s="203" t="s">
        <v>263</v>
      </c>
      <c r="T49" s="254"/>
    </row>
    <row r="50" spans="7:20" ht="15.75" thickBot="1" x14ac:dyDescent="0.25">
      <c r="G50" s="260"/>
      <c r="P50" s="199" t="s">
        <v>46</v>
      </c>
      <c r="Q50" s="263">
        <v>44969</v>
      </c>
      <c r="R50" s="203" t="s">
        <v>20</v>
      </c>
      <c r="T50" s="254"/>
    </row>
    <row r="51" spans="7:20" ht="15.75" thickBot="1" x14ac:dyDescent="0.25">
      <c r="G51" s="260"/>
      <c r="P51" s="199" t="s">
        <v>46</v>
      </c>
      <c r="Q51" s="263">
        <v>44970</v>
      </c>
      <c r="R51" s="203" t="s">
        <v>20</v>
      </c>
      <c r="T51" s="254"/>
    </row>
    <row r="52" spans="7:20" ht="15.75" thickBot="1" x14ac:dyDescent="0.25">
      <c r="G52" s="260"/>
      <c r="P52" s="199" t="s">
        <v>46</v>
      </c>
      <c r="Q52" s="263">
        <v>44971</v>
      </c>
      <c r="R52" s="203" t="s">
        <v>263</v>
      </c>
      <c r="T52" s="254"/>
    </row>
    <row r="53" spans="7:20" ht="15.75" thickBot="1" x14ac:dyDescent="0.25">
      <c r="G53" s="260"/>
      <c r="P53" s="199" t="s">
        <v>46</v>
      </c>
      <c r="Q53" s="263">
        <v>44972</v>
      </c>
      <c r="R53" s="203" t="s">
        <v>263</v>
      </c>
      <c r="T53" s="254"/>
    </row>
    <row r="54" spans="7:20" ht="15.75" thickBot="1" x14ac:dyDescent="0.25">
      <c r="G54" s="260"/>
      <c r="P54" s="199" t="s">
        <v>46</v>
      </c>
      <c r="Q54" s="263">
        <v>44973</v>
      </c>
      <c r="R54" s="203" t="s">
        <v>263</v>
      </c>
      <c r="T54" s="254"/>
    </row>
    <row r="55" spans="7:20" ht="15.75" thickBot="1" x14ac:dyDescent="0.25">
      <c r="G55" s="260"/>
      <c r="P55" s="199" t="s">
        <v>46</v>
      </c>
      <c r="Q55" s="263">
        <v>44974</v>
      </c>
      <c r="R55" s="203" t="s">
        <v>263</v>
      </c>
      <c r="T55" s="254"/>
    </row>
    <row r="56" spans="7:20" ht="15.75" thickBot="1" x14ac:dyDescent="0.25">
      <c r="G56" s="260"/>
      <c r="P56" s="199" t="s">
        <v>46</v>
      </c>
      <c r="Q56" s="263">
        <v>44975</v>
      </c>
      <c r="R56" s="203" t="s">
        <v>263</v>
      </c>
      <c r="T56" s="254"/>
    </row>
    <row r="57" spans="7:20" ht="15.75" thickBot="1" x14ac:dyDescent="0.25">
      <c r="G57" s="260"/>
      <c r="P57" s="199" t="s">
        <v>46</v>
      </c>
      <c r="Q57" s="263">
        <v>44976</v>
      </c>
      <c r="R57" s="203" t="s">
        <v>20</v>
      </c>
      <c r="T57" s="254"/>
    </row>
    <row r="58" spans="7:20" ht="15.75" thickBot="1" x14ac:dyDescent="0.25">
      <c r="G58" s="260"/>
      <c r="P58" s="199" t="s">
        <v>46</v>
      </c>
      <c r="Q58" s="263">
        <v>44977</v>
      </c>
      <c r="R58" s="203" t="s">
        <v>20</v>
      </c>
      <c r="T58" s="254"/>
    </row>
    <row r="59" spans="7:20" ht="15.75" thickBot="1" x14ac:dyDescent="0.25">
      <c r="G59" s="260"/>
      <c r="P59" s="199" t="s">
        <v>48</v>
      </c>
      <c r="Q59" s="263">
        <v>45004</v>
      </c>
      <c r="R59" s="203" t="s">
        <v>20</v>
      </c>
      <c r="T59" s="254"/>
    </row>
    <row r="60" spans="7:20" ht="15.75" thickBot="1" x14ac:dyDescent="0.25">
      <c r="G60" s="260"/>
      <c r="P60" s="199" t="s">
        <v>48</v>
      </c>
      <c r="Q60" s="263">
        <v>45005</v>
      </c>
      <c r="R60" s="203" t="s">
        <v>20</v>
      </c>
      <c r="T60" s="254"/>
    </row>
    <row r="61" spans="7:20" ht="15.75" thickBot="1" x14ac:dyDescent="0.25">
      <c r="G61" s="260"/>
      <c r="P61" s="199" t="s">
        <v>48</v>
      </c>
      <c r="Q61" s="263">
        <v>45006</v>
      </c>
      <c r="R61" s="203" t="s">
        <v>263</v>
      </c>
      <c r="T61" s="254"/>
    </row>
    <row r="62" spans="7:20" ht="15.75" thickBot="1" x14ac:dyDescent="0.25">
      <c r="G62" s="260"/>
      <c r="P62" s="199" t="s">
        <v>48</v>
      </c>
      <c r="Q62" s="263">
        <v>45007</v>
      </c>
      <c r="R62" s="203" t="s">
        <v>263</v>
      </c>
      <c r="T62" s="254"/>
    </row>
    <row r="63" spans="7:20" ht="15.75" thickBot="1" x14ac:dyDescent="0.25">
      <c r="G63" s="260"/>
      <c r="P63" s="199" t="s">
        <v>48</v>
      </c>
      <c r="Q63" s="263">
        <v>45008</v>
      </c>
      <c r="R63" s="203" t="s">
        <v>263</v>
      </c>
      <c r="T63" s="254"/>
    </row>
    <row r="64" spans="7:20" ht="15.75" thickBot="1" x14ac:dyDescent="0.25">
      <c r="G64" s="260"/>
      <c r="P64" s="199" t="s">
        <v>48</v>
      </c>
      <c r="Q64" s="263">
        <v>45009</v>
      </c>
      <c r="R64" s="203" t="s">
        <v>263</v>
      </c>
      <c r="T64" s="254"/>
    </row>
    <row r="65" spans="7:20" ht="15.75" thickBot="1" x14ac:dyDescent="0.25">
      <c r="G65" s="260"/>
      <c r="P65" s="199" t="s">
        <v>48</v>
      </c>
      <c r="Q65" s="263">
        <v>45010</v>
      </c>
      <c r="R65" s="203" t="s">
        <v>263</v>
      </c>
      <c r="T65" s="254"/>
    </row>
    <row r="66" spans="7:20" ht="15.75" thickBot="1" x14ac:dyDescent="0.25">
      <c r="G66" s="260"/>
      <c r="P66" s="199" t="s">
        <v>48</v>
      </c>
      <c r="Q66" s="263">
        <v>45011</v>
      </c>
      <c r="R66" s="203" t="s">
        <v>20</v>
      </c>
      <c r="T66" s="254"/>
    </row>
    <row r="67" spans="7:20" ht="15.75" thickBot="1" x14ac:dyDescent="0.25">
      <c r="G67" s="260"/>
      <c r="P67" s="199" t="s">
        <v>48</v>
      </c>
      <c r="Q67" s="263">
        <v>45012</v>
      </c>
      <c r="R67" s="203" t="s">
        <v>20</v>
      </c>
      <c r="T67" s="254"/>
    </row>
    <row r="68" spans="7:20" ht="15.75" thickBot="1" x14ac:dyDescent="0.25">
      <c r="G68" s="260"/>
      <c r="P68" s="199" t="s">
        <v>48</v>
      </c>
      <c r="Q68" s="263">
        <v>45013</v>
      </c>
      <c r="R68" s="203" t="s">
        <v>263</v>
      </c>
      <c r="T68" s="254"/>
    </row>
    <row r="69" spans="7:20" ht="15.75" thickBot="1" x14ac:dyDescent="0.25">
      <c r="G69" s="260"/>
      <c r="P69" s="199" t="s">
        <v>48</v>
      </c>
      <c r="Q69" s="263">
        <v>45014</v>
      </c>
      <c r="R69" s="203" t="s">
        <v>263</v>
      </c>
      <c r="T69" s="254"/>
    </row>
    <row r="70" spans="7:20" ht="15.75" thickBot="1" x14ac:dyDescent="0.25">
      <c r="G70" s="260"/>
      <c r="P70" s="199" t="s">
        <v>48</v>
      </c>
      <c r="Q70" s="263">
        <v>45015</v>
      </c>
      <c r="R70" s="203" t="s">
        <v>263</v>
      </c>
      <c r="T70" s="254"/>
    </row>
    <row r="71" spans="7:20" ht="15.75" thickBot="1" x14ac:dyDescent="0.25">
      <c r="G71" s="260"/>
      <c r="P71" s="199" t="s">
        <v>48</v>
      </c>
      <c r="Q71" s="263">
        <v>45016</v>
      </c>
      <c r="R71" s="203" t="s">
        <v>263</v>
      </c>
      <c r="T71" s="254"/>
    </row>
    <row r="72" spans="7:20" ht="15.75" thickBot="1" x14ac:dyDescent="0.25">
      <c r="G72" s="260"/>
      <c r="P72" s="199" t="s">
        <v>48</v>
      </c>
      <c r="Q72" s="263">
        <v>45017</v>
      </c>
      <c r="R72" s="203" t="s">
        <v>263</v>
      </c>
      <c r="T72" s="254"/>
    </row>
    <row r="73" spans="7:20" ht="15.75" thickBot="1" x14ac:dyDescent="0.25">
      <c r="G73" s="260"/>
      <c r="P73" s="199" t="s">
        <v>48</v>
      </c>
      <c r="Q73" s="263">
        <v>45018</v>
      </c>
      <c r="R73" s="203" t="s">
        <v>20</v>
      </c>
      <c r="T73" s="254"/>
    </row>
    <row r="74" spans="7:20" ht="15.75" thickBot="1" x14ac:dyDescent="0.25">
      <c r="G74" s="260"/>
      <c r="P74" s="199" t="s">
        <v>48</v>
      </c>
      <c r="Q74" s="263">
        <v>45019</v>
      </c>
      <c r="R74" s="203" t="s">
        <v>20</v>
      </c>
      <c r="T74" s="254"/>
    </row>
    <row r="75" spans="7:20" ht="15.75" thickBot="1" x14ac:dyDescent="0.25">
      <c r="G75" s="260"/>
      <c r="P75" s="199" t="s">
        <v>50</v>
      </c>
      <c r="Q75" s="263">
        <v>45109</v>
      </c>
      <c r="R75" s="203" t="s">
        <v>20</v>
      </c>
      <c r="T75" s="254"/>
    </row>
    <row r="76" spans="7:20" ht="15.75" thickBot="1" x14ac:dyDescent="0.25">
      <c r="G76" s="260"/>
      <c r="P76" s="199" t="s">
        <v>50</v>
      </c>
      <c r="Q76" s="263">
        <v>45110</v>
      </c>
      <c r="R76" s="203" t="s">
        <v>20</v>
      </c>
      <c r="T76" s="254"/>
    </row>
    <row r="77" spans="7:20" ht="15.75" thickBot="1" x14ac:dyDescent="0.25">
      <c r="G77" s="260"/>
      <c r="P77" s="199" t="s">
        <v>50</v>
      </c>
      <c r="Q77" s="263">
        <v>45111</v>
      </c>
      <c r="R77" s="203" t="s">
        <v>263</v>
      </c>
      <c r="T77" s="254"/>
    </row>
    <row r="78" spans="7:20" ht="15.75" thickBot="1" x14ac:dyDescent="0.25">
      <c r="G78" s="260"/>
      <c r="P78" s="199" t="s">
        <v>50</v>
      </c>
      <c r="Q78" s="263">
        <v>45112</v>
      </c>
      <c r="R78" s="203" t="s">
        <v>263</v>
      </c>
      <c r="T78" s="254"/>
    </row>
    <row r="79" spans="7:20" ht="15.75" thickBot="1" x14ac:dyDescent="0.25">
      <c r="G79" s="260"/>
      <c r="P79" s="199" t="s">
        <v>50</v>
      </c>
      <c r="Q79" s="263">
        <v>45113</v>
      </c>
      <c r="R79" s="203" t="s">
        <v>263</v>
      </c>
      <c r="T79" s="254"/>
    </row>
    <row r="80" spans="7:20" ht="15.75" thickBot="1" x14ac:dyDescent="0.25">
      <c r="G80" s="260"/>
      <c r="P80" s="199" t="s">
        <v>50</v>
      </c>
      <c r="Q80" s="263">
        <v>45114</v>
      </c>
      <c r="R80" s="203" t="s">
        <v>263</v>
      </c>
      <c r="T80" s="254"/>
    </row>
    <row r="81" spans="7:20" ht="15.75" thickBot="1" x14ac:dyDescent="0.25">
      <c r="G81" s="260"/>
      <c r="P81" s="199" t="s">
        <v>50</v>
      </c>
      <c r="Q81" s="263">
        <v>45115</v>
      </c>
      <c r="R81" s="203" t="s">
        <v>263</v>
      </c>
      <c r="T81" s="254"/>
    </row>
    <row r="82" spans="7:20" ht="15.75" thickBot="1" x14ac:dyDescent="0.25">
      <c r="G82" s="260"/>
      <c r="P82" s="199" t="s">
        <v>50</v>
      </c>
      <c r="Q82" s="263">
        <v>45116</v>
      </c>
      <c r="R82" s="203" t="s">
        <v>20</v>
      </c>
      <c r="T82" s="254"/>
    </row>
    <row r="83" spans="7:20" ht="15.75" thickBot="1" x14ac:dyDescent="0.25">
      <c r="G83" s="260"/>
      <c r="P83" s="199" t="s">
        <v>50</v>
      </c>
      <c r="Q83" s="263">
        <v>45117</v>
      </c>
      <c r="R83" s="203" t="s">
        <v>20</v>
      </c>
      <c r="T83" s="254"/>
    </row>
    <row r="84" spans="7:20" ht="15.75" thickBot="1" x14ac:dyDescent="0.25">
      <c r="G84" s="260"/>
      <c r="P84" s="199" t="s">
        <v>50</v>
      </c>
      <c r="Q84" s="263">
        <v>45118</v>
      </c>
      <c r="R84" s="203" t="s">
        <v>263</v>
      </c>
      <c r="T84" s="254"/>
    </row>
    <row r="85" spans="7:20" ht="15.75" thickBot="1" x14ac:dyDescent="0.25">
      <c r="G85" s="260"/>
      <c r="P85" s="199" t="s">
        <v>50</v>
      </c>
      <c r="Q85" s="263">
        <v>45119</v>
      </c>
      <c r="R85" s="203" t="s">
        <v>263</v>
      </c>
      <c r="T85" s="254"/>
    </row>
    <row r="86" spans="7:20" ht="15.75" thickBot="1" x14ac:dyDescent="0.25">
      <c r="G86" s="260"/>
      <c r="P86" s="199" t="s">
        <v>50</v>
      </c>
      <c r="Q86" s="263">
        <v>45120</v>
      </c>
      <c r="R86" s="203" t="s">
        <v>263</v>
      </c>
      <c r="T86" s="254"/>
    </row>
    <row r="87" spans="7:20" ht="15.75" thickBot="1" x14ac:dyDescent="0.25">
      <c r="G87" s="260"/>
      <c r="P87" s="199" t="s">
        <v>50</v>
      </c>
      <c r="Q87" s="263">
        <v>45121</v>
      </c>
      <c r="R87" s="203" t="s">
        <v>263</v>
      </c>
      <c r="T87" s="254"/>
    </row>
    <row r="88" spans="7:20" ht="15.75" thickBot="1" x14ac:dyDescent="0.25">
      <c r="G88" s="260"/>
      <c r="P88" s="199" t="s">
        <v>50</v>
      </c>
      <c r="Q88" s="263">
        <v>45122</v>
      </c>
      <c r="R88" s="203" t="s">
        <v>263</v>
      </c>
      <c r="T88" s="254"/>
    </row>
    <row r="89" spans="7:20" ht="15.75" thickBot="1" x14ac:dyDescent="0.25">
      <c r="G89" s="260"/>
      <c r="P89" s="199" t="s">
        <v>50</v>
      </c>
      <c r="Q89" s="263">
        <v>45123</v>
      </c>
      <c r="R89" s="203" t="s">
        <v>20</v>
      </c>
      <c r="T89" s="254"/>
    </row>
    <row r="90" spans="7:20" ht="15.75" thickBot="1" x14ac:dyDescent="0.25">
      <c r="G90" s="260"/>
      <c r="P90" s="199" t="s">
        <v>50</v>
      </c>
      <c r="Q90" s="263">
        <v>45124</v>
      </c>
      <c r="R90" s="203" t="s">
        <v>20</v>
      </c>
      <c r="T90" s="254"/>
    </row>
    <row r="91" spans="7:20" ht="15.75" thickBot="1" x14ac:dyDescent="0.25">
      <c r="G91" s="260"/>
      <c r="P91" s="199" t="s">
        <v>50</v>
      </c>
      <c r="Q91" s="263">
        <v>45125</v>
      </c>
      <c r="R91" s="203" t="s">
        <v>263</v>
      </c>
      <c r="T91" s="254"/>
    </row>
    <row r="92" spans="7:20" ht="15.75" thickBot="1" x14ac:dyDescent="0.25">
      <c r="G92" s="260"/>
      <c r="P92" s="199" t="s">
        <v>50</v>
      </c>
      <c r="Q92" s="263">
        <v>45126</v>
      </c>
      <c r="R92" s="203" t="s">
        <v>263</v>
      </c>
      <c r="T92" s="254"/>
    </row>
    <row r="93" spans="7:20" ht="15.75" thickBot="1" x14ac:dyDescent="0.25">
      <c r="G93" s="260"/>
      <c r="P93" s="199" t="s">
        <v>50</v>
      </c>
      <c r="Q93" s="263">
        <v>45127</v>
      </c>
      <c r="R93" s="203" t="s">
        <v>263</v>
      </c>
      <c r="T93" s="254"/>
    </row>
    <row r="94" spans="7:20" ht="15.75" thickBot="1" x14ac:dyDescent="0.25">
      <c r="G94" s="260"/>
      <c r="P94" s="199" t="s">
        <v>50</v>
      </c>
      <c r="Q94" s="263">
        <v>45128</v>
      </c>
      <c r="R94" s="203" t="s">
        <v>263</v>
      </c>
      <c r="T94" s="254"/>
    </row>
    <row r="95" spans="7:20" ht="15.75" thickBot="1" x14ac:dyDescent="0.25">
      <c r="G95" s="260"/>
      <c r="P95" s="199" t="s">
        <v>50</v>
      </c>
      <c r="Q95" s="263">
        <v>45129</v>
      </c>
      <c r="R95" s="203" t="s">
        <v>263</v>
      </c>
      <c r="T95" s="254"/>
    </row>
    <row r="96" spans="7:20" ht="15.75" thickBot="1" x14ac:dyDescent="0.25">
      <c r="G96" s="260"/>
      <c r="P96" s="199" t="s">
        <v>50</v>
      </c>
      <c r="Q96" s="263">
        <v>45130</v>
      </c>
      <c r="R96" s="203" t="s">
        <v>20</v>
      </c>
      <c r="T96" s="254"/>
    </row>
    <row r="97" spans="7:20" ht="15.75" thickBot="1" x14ac:dyDescent="0.25">
      <c r="G97" s="260"/>
      <c r="P97" s="199" t="s">
        <v>50</v>
      </c>
      <c r="Q97" s="263">
        <v>45131</v>
      </c>
      <c r="R97" s="203" t="s">
        <v>20</v>
      </c>
      <c r="T97" s="254"/>
    </row>
    <row r="98" spans="7:20" ht="15.75" thickBot="1" x14ac:dyDescent="0.25">
      <c r="G98" s="260"/>
      <c r="P98" s="199" t="s">
        <v>50</v>
      </c>
      <c r="Q98" s="263">
        <v>45132</v>
      </c>
      <c r="R98" s="203" t="s">
        <v>263</v>
      </c>
      <c r="T98" s="254"/>
    </row>
    <row r="99" spans="7:20" ht="15.75" thickBot="1" x14ac:dyDescent="0.25">
      <c r="G99" s="260"/>
      <c r="P99" s="199" t="s">
        <v>50</v>
      </c>
      <c r="Q99" s="263">
        <v>45133</v>
      </c>
      <c r="R99" s="203" t="s">
        <v>263</v>
      </c>
      <c r="T99" s="254"/>
    </row>
    <row r="100" spans="7:20" ht="15.75" thickBot="1" x14ac:dyDescent="0.25">
      <c r="G100" s="260"/>
      <c r="P100" s="199" t="s">
        <v>50</v>
      </c>
      <c r="Q100" s="263">
        <v>45134</v>
      </c>
      <c r="R100" s="203" t="s">
        <v>263</v>
      </c>
      <c r="T100" s="254"/>
    </row>
    <row r="101" spans="7:20" ht="15.75" thickBot="1" x14ac:dyDescent="0.25">
      <c r="G101" s="260"/>
      <c r="P101" s="199" t="s">
        <v>50</v>
      </c>
      <c r="Q101" s="263">
        <v>45135</v>
      </c>
      <c r="R101" s="203" t="s">
        <v>263</v>
      </c>
      <c r="T101" s="254"/>
    </row>
    <row r="102" spans="7:20" ht="15.75" thickBot="1" x14ac:dyDescent="0.25">
      <c r="G102" s="260"/>
      <c r="P102" s="199" t="s">
        <v>50</v>
      </c>
      <c r="Q102" s="263">
        <v>45136</v>
      </c>
      <c r="R102" s="203" t="s">
        <v>263</v>
      </c>
      <c r="T102" s="254"/>
    </row>
    <row r="103" spans="7:20" ht="15.75" thickBot="1" x14ac:dyDescent="0.25">
      <c r="G103" s="260"/>
      <c r="P103" s="199" t="s">
        <v>50</v>
      </c>
      <c r="Q103" s="263">
        <v>45137</v>
      </c>
      <c r="R103" s="203" t="s">
        <v>20</v>
      </c>
      <c r="T103" s="254"/>
    </row>
    <row r="104" spans="7:20" ht="15.75" thickBot="1" x14ac:dyDescent="0.25">
      <c r="G104" s="260"/>
      <c r="P104" s="199" t="s">
        <v>275</v>
      </c>
      <c r="Q104" s="263" t="s">
        <v>275</v>
      </c>
      <c r="R104" s="203" t="s">
        <v>275</v>
      </c>
      <c r="T104" s="254"/>
    </row>
    <row r="105" spans="7:20" ht="15.75" thickBot="1" x14ac:dyDescent="0.25">
      <c r="G105" s="260"/>
      <c r="P105" s="199" t="s">
        <v>275</v>
      </c>
      <c r="Q105" s="263" t="s">
        <v>275</v>
      </c>
      <c r="R105" s="203" t="s">
        <v>275</v>
      </c>
      <c r="T105" s="254"/>
    </row>
    <row r="106" spans="7:20" ht="15.75" thickBot="1" x14ac:dyDescent="0.25">
      <c r="G106" s="260"/>
      <c r="P106" s="199" t="s">
        <v>275</v>
      </c>
      <c r="Q106" s="263" t="s">
        <v>275</v>
      </c>
      <c r="R106" s="203" t="s">
        <v>275</v>
      </c>
      <c r="T106" s="254"/>
    </row>
    <row r="107" spans="7:20" ht="15.75" thickBot="1" x14ac:dyDescent="0.25">
      <c r="G107" s="260"/>
      <c r="P107" s="199" t="s">
        <v>275</v>
      </c>
      <c r="Q107" s="263" t="s">
        <v>275</v>
      </c>
      <c r="R107" s="203" t="s">
        <v>275</v>
      </c>
      <c r="T107" s="254"/>
    </row>
    <row r="108" spans="7:20" ht="15.75" thickBot="1" x14ac:dyDescent="0.25">
      <c r="G108" s="260"/>
      <c r="P108" s="199" t="s">
        <v>275</v>
      </c>
      <c r="Q108" s="263" t="s">
        <v>275</v>
      </c>
      <c r="R108" s="203" t="s">
        <v>275</v>
      </c>
      <c r="T108" s="254"/>
    </row>
    <row r="109" spans="7:20" ht="15.75" thickBot="1" x14ac:dyDescent="0.25">
      <c r="G109" s="260"/>
      <c r="P109" s="199" t="s">
        <v>275</v>
      </c>
      <c r="Q109" s="263" t="s">
        <v>275</v>
      </c>
      <c r="R109" s="203" t="s">
        <v>275</v>
      </c>
      <c r="T109" s="254"/>
    </row>
    <row r="110" spans="7:20" ht="15.75" thickBot="1" x14ac:dyDescent="0.25">
      <c r="G110" s="260"/>
      <c r="P110" s="199" t="s">
        <v>275</v>
      </c>
      <c r="Q110" s="263" t="s">
        <v>275</v>
      </c>
      <c r="R110" s="203" t="s">
        <v>275</v>
      </c>
      <c r="T110" s="254"/>
    </row>
    <row r="111" spans="7:20" x14ac:dyDescent="0.2">
      <c r="G111" s="260"/>
      <c r="T111" s="254"/>
    </row>
    <row r="112" spans="7:20" x14ac:dyDescent="0.2">
      <c r="G112" s="260"/>
      <c r="T112" s="254"/>
    </row>
    <row r="113" spans="7:20" x14ac:dyDescent="0.2">
      <c r="G113" s="260"/>
      <c r="T113" s="254"/>
    </row>
    <row r="114" spans="7:20" x14ac:dyDescent="0.2">
      <c r="G114" s="260"/>
      <c r="T114" s="254"/>
    </row>
    <row r="115" spans="7:20" x14ac:dyDescent="0.2">
      <c r="G115" s="260"/>
      <c r="T115" s="254"/>
    </row>
    <row r="116" spans="7:20" x14ac:dyDescent="0.2">
      <c r="G116" s="260"/>
      <c r="T116" s="254"/>
    </row>
    <row r="117" spans="7:20" x14ac:dyDescent="0.2">
      <c r="G117" s="260"/>
      <c r="T117" s="254"/>
    </row>
    <row r="118" spans="7:20" x14ac:dyDescent="0.2">
      <c r="G118" s="260"/>
      <c r="T118" s="254"/>
    </row>
    <row r="119" spans="7:20" x14ac:dyDescent="0.2">
      <c r="G119" s="260"/>
      <c r="T119" s="254"/>
    </row>
    <row r="120" spans="7:20" x14ac:dyDescent="0.2">
      <c r="G120" s="260"/>
      <c r="T120" s="254"/>
    </row>
    <row r="121" spans="7:20" x14ac:dyDescent="0.2">
      <c r="G121" s="260"/>
      <c r="T121" s="254"/>
    </row>
    <row r="122" spans="7:20" x14ac:dyDescent="0.2">
      <c r="G122" s="260"/>
      <c r="T122" s="254"/>
    </row>
    <row r="123" spans="7:20" x14ac:dyDescent="0.2">
      <c r="G123" s="260"/>
      <c r="T123" s="254"/>
    </row>
    <row r="124" spans="7:20" x14ac:dyDescent="0.2">
      <c r="G124" s="260"/>
      <c r="T124" s="254"/>
    </row>
    <row r="125" spans="7:20" x14ac:dyDescent="0.2">
      <c r="G125" s="260"/>
      <c r="T125" s="254"/>
    </row>
    <row r="126" spans="7:20" x14ac:dyDescent="0.2">
      <c r="G126" s="260"/>
      <c r="T126" s="254"/>
    </row>
    <row r="127" spans="7:20" x14ac:dyDescent="0.2">
      <c r="G127" s="260"/>
      <c r="T127" s="254"/>
    </row>
    <row r="128" spans="7:20" x14ac:dyDescent="0.2">
      <c r="G128" s="260"/>
      <c r="T128" s="254"/>
    </row>
    <row r="129" spans="7:20" x14ac:dyDescent="0.2">
      <c r="G129" s="260"/>
      <c r="T129" s="254"/>
    </row>
    <row r="130" spans="7:20" x14ac:dyDescent="0.2">
      <c r="G130" s="260"/>
      <c r="T130" s="254"/>
    </row>
    <row r="131" spans="7:20" x14ac:dyDescent="0.2">
      <c r="G131" s="260"/>
      <c r="T131" s="254"/>
    </row>
    <row r="132" spans="7:20" x14ac:dyDescent="0.2">
      <c r="G132" s="260"/>
      <c r="T132" s="254"/>
    </row>
    <row r="133" spans="7:20" x14ac:dyDescent="0.2">
      <c r="G133" s="260"/>
      <c r="T133" s="254"/>
    </row>
    <row r="134" spans="7:20" x14ac:dyDescent="0.2">
      <c r="G134" s="260"/>
      <c r="T134" s="254"/>
    </row>
    <row r="135" spans="7:20" x14ac:dyDescent="0.2">
      <c r="G135" s="260"/>
      <c r="T135" s="254"/>
    </row>
    <row r="136" spans="7:20" x14ac:dyDescent="0.2">
      <c r="G136" s="260"/>
      <c r="T136" s="254"/>
    </row>
    <row r="137" spans="7:20" x14ac:dyDescent="0.2">
      <c r="T137" s="254"/>
    </row>
    <row r="138" spans="7:20" x14ac:dyDescent="0.2">
      <c r="T138" s="254"/>
    </row>
    <row r="139" spans="7:20" x14ac:dyDescent="0.2">
      <c r="T139" s="254"/>
    </row>
    <row r="140" spans="7:20" x14ac:dyDescent="0.2">
      <c r="T140" s="254"/>
    </row>
    <row r="141" spans="7:20" x14ac:dyDescent="0.2">
      <c r="T141" s="254"/>
    </row>
    <row r="142" spans="7:20" x14ac:dyDescent="0.2">
      <c r="T142" s="254"/>
    </row>
    <row r="143" spans="7:20" x14ac:dyDescent="0.2">
      <c r="T143" s="254"/>
    </row>
    <row r="144" spans="7:20" x14ac:dyDescent="0.2">
      <c r="T144" s="254"/>
    </row>
    <row r="145" spans="20:20" x14ac:dyDescent="0.2">
      <c r="T145" s="254"/>
    </row>
    <row r="146" spans="20:20" x14ac:dyDescent="0.2">
      <c r="T146" s="254"/>
    </row>
    <row r="147" spans="20:20" x14ac:dyDescent="0.2">
      <c r="T147" s="254"/>
    </row>
    <row r="148" spans="20:20" x14ac:dyDescent="0.2">
      <c r="T148" s="254"/>
    </row>
    <row r="149" spans="20:20" x14ac:dyDescent="0.2">
      <c r="T149" s="254"/>
    </row>
    <row r="150" spans="20:20" x14ac:dyDescent="0.2">
      <c r="T150" s="254"/>
    </row>
    <row r="151" spans="20:20" x14ac:dyDescent="0.2">
      <c r="T151" s="254"/>
    </row>
    <row r="152" spans="20:20" x14ac:dyDescent="0.2">
      <c r="T152" s="254"/>
    </row>
    <row r="153" spans="20:20" x14ac:dyDescent="0.2">
      <c r="T153" s="254"/>
    </row>
    <row r="154" spans="20:20" x14ac:dyDescent="0.2">
      <c r="T154" s="254"/>
    </row>
    <row r="155" spans="20:20" x14ac:dyDescent="0.2">
      <c r="T155" s="254"/>
    </row>
    <row r="156" spans="20:20" x14ac:dyDescent="0.2">
      <c r="T156" s="254"/>
    </row>
    <row r="157" spans="20:20" x14ac:dyDescent="0.2">
      <c r="T157" s="254"/>
    </row>
    <row r="158" spans="20:20" x14ac:dyDescent="0.2">
      <c r="T158" s="254"/>
    </row>
    <row r="159" spans="20:20" x14ac:dyDescent="0.2">
      <c r="T159" s="254"/>
    </row>
    <row r="160" spans="20:20" x14ac:dyDescent="0.2">
      <c r="T160" s="254"/>
    </row>
    <row r="161" spans="20:20" x14ac:dyDescent="0.2">
      <c r="T161" s="254"/>
    </row>
    <row r="162" spans="20:20" x14ac:dyDescent="0.2">
      <c r="T162" s="254"/>
    </row>
    <row r="163" spans="20:20" x14ac:dyDescent="0.2">
      <c r="T163" s="254"/>
    </row>
    <row r="164" spans="20:20" x14ac:dyDescent="0.2">
      <c r="T164" s="254"/>
    </row>
    <row r="165" spans="20:20" x14ac:dyDescent="0.2">
      <c r="T165" s="254"/>
    </row>
    <row r="166" spans="20:20" x14ac:dyDescent="0.2">
      <c r="T166" s="254"/>
    </row>
    <row r="167" spans="20:20" x14ac:dyDescent="0.2">
      <c r="T167" s="254"/>
    </row>
    <row r="168" spans="20:20" x14ac:dyDescent="0.2">
      <c r="T168" s="254"/>
    </row>
    <row r="169" spans="20:20" x14ac:dyDescent="0.2">
      <c r="T169" s="254"/>
    </row>
    <row r="170" spans="20:20" x14ac:dyDescent="0.2">
      <c r="T170" s="254"/>
    </row>
    <row r="171" spans="20:20" x14ac:dyDescent="0.2">
      <c r="T171" s="254"/>
    </row>
    <row r="172" spans="20:20" x14ac:dyDescent="0.2">
      <c r="T172" s="254"/>
    </row>
    <row r="173" spans="20:20" x14ac:dyDescent="0.2">
      <c r="T173" s="254"/>
    </row>
    <row r="174" spans="20:20" x14ac:dyDescent="0.2">
      <c r="T174" s="254"/>
    </row>
    <row r="175" spans="20:20" x14ac:dyDescent="0.2">
      <c r="T175" s="254"/>
    </row>
    <row r="176" spans="20:20" x14ac:dyDescent="0.2">
      <c r="T176" s="254"/>
    </row>
    <row r="177" spans="20:20" x14ac:dyDescent="0.2">
      <c r="T177" s="254"/>
    </row>
    <row r="178" spans="20:20" x14ac:dyDescent="0.2">
      <c r="T178" s="254"/>
    </row>
    <row r="179" spans="20:20" x14ac:dyDescent="0.2">
      <c r="T179" s="254"/>
    </row>
    <row r="180" spans="20:20" x14ac:dyDescent="0.2">
      <c r="T180" s="254"/>
    </row>
    <row r="181" spans="20:20" x14ac:dyDescent="0.2">
      <c r="T181" s="254"/>
    </row>
    <row r="182" spans="20:20" x14ac:dyDescent="0.2">
      <c r="T182" s="254"/>
    </row>
    <row r="183" spans="20:20" x14ac:dyDescent="0.2">
      <c r="T183" s="254"/>
    </row>
    <row r="184" spans="20:20" x14ac:dyDescent="0.2">
      <c r="T184" s="254"/>
    </row>
    <row r="185" spans="20:20" x14ac:dyDescent="0.2">
      <c r="T185" s="254"/>
    </row>
    <row r="186" spans="20:20" x14ac:dyDescent="0.2">
      <c r="T186" s="254"/>
    </row>
    <row r="187" spans="20:20" x14ac:dyDescent="0.2">
      <c r="T187" s="254"/>
    </row>
    <row r="188" spans="20:20" x14ac:dyDescent="0.2">
      <c r="T188" s="254"/>
    </row>
    <row r="189" spans="20:20" x14ac:dyDescent="0.2">
      <c r="T189" s="254"/>
    </row>
    <row r="190" spans="20:20" x14ac:dyDescent="0.2">
      <c r="T190" s="254"/>
    </row>
    <row r="191" spans="20:20" x14ac:dyDescent="0.2">
      <c r="T191" s="254"/>
    </row>
    <row r="192" spans="20:20" x14ac:dyDescent="0.2">
      <c r="T192" s="254"/>
    </row>
    <row r="193" spans="20:20" x14ac:dyDescent="0.2">
      <c r="T193" s="254"/>
    </row>
    <row r="194" spans="20:20" x14ac:dyDescent="0.2">
      <c r="T194" s="254"/>
    </row>
    <row r="195" spans="20:20" x14ac:dyDescent="0.2">
      <c r="T195" s="254"/>
    </row>
    <row r="196" spans="20:20" x14ac:dyDescent="0.2">
      <c r="T196" s="254"/>
    </row>
    <row r="197" spans="20:20" x14ac:dyDescent="0.2">
      <c r="T197" s="254"/>
    </row>
    <row r="198" spans="20:20" x14ac:dyDescent="0.2">
      <c r="T198" s="254"/>
    </row>
    <row r="199" spans="20:20" x14ac:dyDescent="0.2">
      <c r="T199" s="254"/>
    </row>
    <row r="200" spans="20:20" x14ac:dyDescent="0.2">
      <c r="T200" s="254"/>
    </row>
    <row r="201" spans="20:20" x14ac:dyDescent="0.2">
      <c r="T201" s="254"/>
    </row>
    <row r="202" spans="20:20" x14ac:dyDescent="0.2">
      <c r="T202" s="254"/>
    </row>
    <row r="203" spans="20:20" x14ac:dyDescent="0.2">
      <c r="T203" s="254"/>
    </row>
    <row r="204" spans="20:20" x14ac:dyDescent="0.2">
      <c r="T204" s="254"/>
    </row>
    <row r="205" spans="20:20" x14ac:dyDescent="0.2">
      <c r="T205" s="254"/>
    </row>
    <row r="206" spans="20:20" x14ac:dyDescent="0.2">
      <c r="T206" s="254"/>
    </row>
    <row r="207" spans="20:20" x14ac:dyDescent="0.2">
      <c r="T207" s="254"/>
    </row>
    <row r="208" spans="20:20" x14ac:dyDescent="0.2">
      <c r="T208" s="254"/>
    </row>
    <row r="209" spans="20:20" x14ac:dyDescent="0.2">
      <c r="T209" s="254"/>
    </row>
    <row r="210" spans="20:20" x14ac:dyDescent="0.2">
      <c r="T210" s="254"/>
    </row>
    <row r="211" spans="20:20" x14ac:dyDescent="0.2">
      <c r="T211" s="254"/>
    </row>
    <row r="212" spans="20:20" x14ac:dyDescent="0.2">
      <c r="T212" s="254"/>
    </row>
    <row r="213" spans="20:20" x14ac:dyDescent="0.2">
      <c r="T213" s="254"/>
    </row>
    <row r="214" spans="20:20" x14ac:dyDescent="0.2">
      <c r="T214" s="254"/>
    </row>
    <row r="215" spans="20:20" x14ac:dyDescent="0.2">
      <c r="T215" s="254"/>
    </row>
    <row r="216" spans="20:20" x14ac:dyDescent="0.2">
      <c r="T216" s="254"/>
    </row>
    <row r="217" spans="20:20" x14ac:dyDescent="0.2">
      <c r="T217" s="254"/>
    </row>
    <row r="218" spans="20:20" x14ac:dyDescent="0.2">
      <c r="T218" s="254"/>
    </row>
    <row r="219" spans="20:20" x14ac:dyDescent="0.2">
      <c r="T219" s="254"/>
    </row>
    <row r="220" spans="20:20" x14ac:dyDescent="0.2">
      <c r="T220" s="254"/>
    </row>
    <row r="221" spans="20:20" x14ac:dyDescent="0.2">
      <c r="T221" s="254"/>
    </row>
    <row r="222" spans="20:20" x14ac:dyDescent="0.2">
      <c r="T222" s="254"/>
    </row>
    <row r="223" spans="20:20" x14ac:dyDescent="0.2">
      <c r="T223" s="254"/>
    </row>
    <row r="224" spans="20:20" x14ac:dyDescent="0.2">
      <c r="T224" s="254"/>
    </row>
    <row r="225" spans="20:20" x14ac:dyDescent="0.2">
      <c r="T225" s="254"/>
    </row>
    <row r="226" spans="20:20" x14ac:dyDescent="0.2">
      <c r="T226" s="254"/>
    </row>
    <row r="227" spans="20:20" x14ac:dyDescent="0.2">
      <c r="T227" s="254"/>
    </row>
    <row r="228" spans="20:20" x14ac:dyDescent="0.2">
      <c r="T228" s="254"/>
    </row>
    <row r="229" spans="20:20" x14ac:dyDescent="0.2">
      <c r="T229" s="254"/>
    </row>
    <row r="230" spans="20:20" x14ac:dyDescent="0.2">
      <c r="T230" s="254"/>
    </row>
    <row r="231" spans="20:20" x14ac:dyDescent="0.2">
      <c r="T231" s="254"/>
    </row>
    <row r="232" spans="20:20" x14ac:dyDescent="0.2">
      <c r="T232" s="254"/>
    </row>
    <row r="233" spans="20:20" x14ac:dyDescent="0.2">
      <c r="T233" s="254"/>
    </row>
    <row r="234" spans="20:20" x14ac:dyDescent="0.2">
      <c r="T234" s="254"/>
    </row>
    <row r="235" spans="20:20" x14ac:dyDescent="0.2">
      <c r="T235" s="254"/>
    </row>
    <row r="236" spans="20:20" x14ac:dyDescent="0.2">
      <c r="T236" s="254"/>
    </row>
    <row r="237" spans="20:20" x14ac:dyDescent="0.2">
      <c r="T237" s="254"/>
    </row>
    <row r="238" spans="20:20" x14ac:dyDescent="0.2">
      <c r="T238" s="254"/>
    </row>
    <row r="239" spans="20:20" x14ac:dyDescent="0.2">
      <c r="T239" s="254"/>
    </row>
    <row r="240" spans="20:20" x14ac:dyDescent="0.2">
      <c r="T240" s="254"/>
    </row>
    <row r="241" spans="20:20" x14ac:dyDescent="0.2">
      <c r="T241" s="254"/>
    </row>
    <row r="242" spans="20:20" x14ac:dyDescent="0.2">
      <c r="T242" s="254"/>
    </row>
    <row r="243" spans="20:20" x14ac:dyDescent="0.2">
      <c r="T243" s="254"/>
    </row>
    <row r="244" spans="20:20" x14ac:dyDescent="0.2">
      <c r="T244" s="254"/>
    </row>
    <row r="245" spans="20:20" x14ac:dyDescent="0.2">
      <c r="T245" s="254"/>
    </row>
    <row r="246" spans="20:20" x14ac:dyDescent="0.2">
      <c r="T246" s="254"/>
    </row>
    <row r="247" spans="20:20" x14ac:dyDescent="0.2">
      <c r="T247" s="254"/>
    </row>
    <row r="248" spans="20:20" x14ac:dyDescent="0.2">
      <c r="T248" s="254"/>
    </row>
    <row r="249" spans="20:20" x14ac:dyDescent="0.2">
      <c r="T249" s="254"/>
    </row>
    <row r="250" spans="20:20" x14ac:dyDescent="0.2">
      <c r="T250" s="254"/>
    </row>
    <row r="251" spans="20:20" x14ac:dyDescent="0.2">
      <c r="T251" s="254"/>
    </row>
    <row r="252" spans="20:20" x14ac:dyDescent="0.2">
      <c r="T252" s="254"/>
    </row>
  </sheetData>
  <mergeCells count="7">
    <mergeCell ref="AB2:AC2"/>
    <mergeCell ref="AD2:AD3"/>
    <mergeCell ref="A1:A16"/>
    <mergeCell ref="AA1:AA16"/>
    <mergeCell ref="AK1:AK16"/>
    <mergeCell ref="AB1:AD1"/>
    <mergeCell ref="E1:F1"/>
  </mergeCells>
  <hyperlinks>
    <hyperlink ref="C1" r:id="rId1" xr:uid="{00000000-0004-0000-0100-000000000000}"/>
    <hyperlink ref="O1" r:id="rId2" xr:uid="{03F91689-9D9C-4011-BB2C-18899FC34DCA}"/>
  </hyperlinks>
  <pageMargins left="0.78740157499999996" right="0.78740157499999996" top="0.984251969" bottom="0.984251969" header="0.4921259845" footer="0.4921259845"/>
  <pageSetup paperSize="9" orientation="portrait" r:id="rId3"/>
  <headerFooter alignWithMargins="0"/>
  <customProperties>
    <customPr name="_pios_id" r:id="rId4"/>
  </customProperties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2">
    <tabColor rgb="FFFFC000"/>
  </sheetPr>
  <dimension ref="A1:Q47"/>
  <sheetViews>
    <sheetView zoomScale="85" zoomScaleNormal="85" workbookViewId="0">
      <selection sqref="A1:A16"/>
    </sheetView>
  </sheetViews>
  <sheetFormatPr baseColWidth="10" defaultColWidth="11.5546875" defaultRowHeight="12.75" x14ac:dyDescent="0.2"/>
  <cols>
    <col min="1" max="1" width="41.77734375" style="1" bestFit="1" customWidth="1"/>
    <col min="2" max="2" width="23" style="1" bestFit="1" customWidth="1"/>
    <col min="3" max="5" width="13.109375" style="1" customWidth="1"/>
    <col min="6" max="6" width="11.5546875" style="1"/>
    <col min="7" max="7" width="8.21875" style="1" customWidth="1"/>
    <col min="8" max="14" width="8.77734375" style="1" customWidth="1"/>
    <col min="15" max="16384" width="11.5546875" style="1"/>
  </cols>
  <sheetData>
    <row r="1" spans="1:17" x14ac:dyDescent="0.2">
      <c r="A1" s="3" t="s">
        <v>110</v>
      </c>
    </row>
    <row r="2" spans="1:17" x14ac:dyDescent="0.2">
      <c r="A2" s="4" t="s">
        <v>10</v>
      </c>
      <c r="B2" s="5">
        <f>+Aufgabenplanung!B4</f>
        <v>0</v>
      </c>
      <c r="H2" s="267" t="s">
        <v>243</v>
      </c>
      <c r="I2" s="267"/>
      <c r="J2" s="267"/>
      <c r="K2" s="267"/>
      <c r="L2" s="267"/>
      <c r="M2" s="267"/>
      <c r="N2" s="267"/>
      <c r="O2" s="267"/>
      <c r="P2" s="267"/>
      <c r="Q2" s="267"/>
    </row>
    <row r="3" spans="1:17" x14ac:dyDescent="0.2">
      <c r="A3" s="4" t="s">
        <v>111</v>
      </c>
      <c r="B3" s="6" t="str">
        <f>+Aufgabenplanung!B6</f>
        <v>2026/2027</v>
      </c>
      <c r="H3" s="268" t="s">
        <v>244</v>
      </c>
      <c r="I3" s="268" t="s">
        <v>245</v>
      </c>
      <c r="J3" s="268" t="s">
        <v>116</v>
      </c>
      <c r="K3" s="268" t="s">
        <v>246</v>
      </c>
      <c r="L3" s="268" t="s">
        <v>247</v>
      </c>
      <c r="M3" s="268" t="s">
        <v>248</v>
      </c>
      <c r="N3" s="268" t="s">
        <v>249</v>
      </c>
      <c r="O3" s="268" t="s">
        <v>250</v>
      </c>
      <c r="P3" s="268" t="s">
        <v>251</v>
      </c>
      <c r="Q3" s="268" t="s">
        <v>252</v>
      </c>
    </row>
    <row r="4" spans="1:17" x14ac:dyDescent="0.2">
      <c r="A4" s="4" t="s">
        <v>112</v>
      </c>
      <c r="B4" s="7">
        <f>+Aufgabenplanung!B16</f>
        <v>1898.4</v>
      </c>
      <c r="H4" s="269">
        <f>+B4*B5/SUM(B5:B6)</f>
        <v>1612.8000000000002</v>
      </c>
      <c r="I4" s="269">
        <f>IF(B9=0,0,$B$10/$B$9)</f>
        <v>0</v>
      </c>
      <c r="J4" s="269">
        <f>+H4*I4</f>
        <v>0</v>
      </c>
      <c r="K4" s="269">
        <f>+C27</f>
        <v>0</v>
      </c>
      <c r="L4" s="269">
        <f>+J4-K4</f>
        <v>0</v>
      </c>
      <c r="M4" s="269">
        <f>IF(SUM(B28:B29)=0,0,B28/SUM(B28:B29))</f>
        <v>0</v>
      </c>
      <c r="N4" s="269">
        <f>+L4*M4</f>
        <v>0</v>
      </c>
      <c r="O4" s="269">
        <f>+N4/B5</f>
        <v>0</v>
      </c>
      <c r="P4" s="269">
        <f>+O4/5</f>
        <v>0</v>
      </c>
      <c r="Q4" s="270">
        <f>+P4/24</f>
        <v>0</v>
      </c>
    </row>
    <row r="5" spans="1:17" x14ac:dyDescent="0.2">
      <c r="A5" s="4" t="s">
        <v>113</v>
      </c>
      <c r="B5" s="8">
        <f>+Grundlagen!J3</f>
        <v>38.4</v>
      </c>
      <c r="H5" s="269">
        <f>+B4*B6/SUM(B5:B6)</f>
        <v>285.60000000000002</v>
      </c>
      <c r="I5" s="269">
        <f>IF(B9=0,0,$B$10/$B$9)</f>
        <v>0</v>
      </c>
      <c r="J5" s="269">
        <f>+H5*I5</f>
        <v>0</v>
      </c>
      <c r="K5" s="269">
        <v>0</v>
      </c>
      <c r="L5" s="269">
        <f>+J5-K5</f>
        <v>0</v>
      </c>
      <c r="M5" s="269">
        <f>IF(SUM(B28:B29)=0,0,B28/SUM(B28:B29))</f>
        <v>0</v>
      </c>
      <c r="N5" s="269">
        <f>+L5*M5</f>
        <v>0</v>
      </c>
      <c r="O5" s="269">
        <f>+N5/B6</f>
        <v>0</v>
      </c>
      <c r="P5" s="269">
        <f>+O5/5</f>
        <v>0</v>
      </c>
      <c r="Q5" s="270">
        <f>+P5/24</f>
        <v>0</v>
      </c>
    </row>
    <row r="6" spans="1:17" x14ac:dyDescent="0.2">
      <c r="A6" s="4" t="s">
        <v>114</v>
      </c>
      <c r="B6" s="8">
        <f>+Grundlagen!H3</f>
        <v>6.8</v>
      </c>
    </row>
    <row r="7" spans="1:17" x14ac:dyDescent="0.2">
      <c r="A7" s="27" t="s">
        <v>169</v>
      </c>
      <c r="B7" s="8">
        <f>+Aufgabenplanung!B17</f>
        <v>0</v>
      </c>
      <c r="H7" s="267" t="s">
        <v>253</v>
      </c>
      <c r="I7" s="267"/>
      <c r="J7" s="267"/>
      <c r="K7" s="267"/>
      <c r="L7" s="267"/>
      <c r="M7" s="267"/>
      <c r="N7" s="267"/>
      <c r="O7" s="267"/>
      <c r="P7" s="267"/>
      <c r="Q7" s="267"/>
    </row>
    <row r="8" spans="1:17" x14ac:dyDescent="0.2">
      <c r="A8" s="27" t="s">
        <v>72</v>
      </c>
      <c r="B8" s="8">
        <f>Aufgabenplanung!$B$20</f>
        <v>1898.4</v>
      </c>
      <c r="H8" s="268" t="s">
        <v>244</v>
      </c>
      <c r="I8" s="268" t="s">
        <v>245</v>
      </c>
      <c r="J8" s="268" t="s">
        <v>116</v>
      </c>
      <c r="K8" s="268" t="s">
        <v>246</v>
      </c>
      <c r="L8" s="268" t="s">
        <v>247</v>
      </c>
      <c r="M8" s="268" t="s">
        <v>256</v>
      </c>
      <c r="N8" s="268" t="s">
        <v>254</v>
      </c>
      <c r="O8" s="268" t="s">
        <v>250</v>
      </c>
      <c r="P8" s="268" t="s">
        <v>251</v>
      </c>
      <c r="Q8" s="268" t="s">
        <v>252</v>
      </c>
    </row>
    <row r="9" spans="1:17" x14ac:dyDescent="0.2">
      <c r="A9" s="4" t="s">
        <v>76</v>
      </c>
      <c r="B9" s="51">
        <f>IFERROR(Aufgabenplanung!B25,0)</f>
        <v>0</v>
      </c>
      <c r="C9" s="49" t="str">
        <f>IFERROR(IF(HLOOKUP(B2,Dropdowns!1:5,2,0)=0,"",HLOOKUP(B2,Dropdowns!1:5,2,0)),"")</f>
        <v/>
      </c>
      <c r="D9" s="49" t="str">
        <f>IFERROR(IF(HLOOKUP(B2,Dropdowns!1:5,3,0)=0,"",HLOOKUP(B2,Dropdowns!1:5,3,0)),"")</f>
        <v/>
      </c>
      <c r="E9" s="49" t="str">
        <f>IFERROR(IF(HLOOKUP(B2,Dropdowns!1:5,4,0)=0,"",HLOOKUP(B2,Dropdowns!1:5,4,0)),"")</f>
        <v/>
      </c>
      <c r="F9" s="49" t="str">
        <f>IFERROR(IF(HLOOKUP(B2,Dropdowns!1:5,5,0)=0,"",HLOOKUP(B2,Dropdowns!1:5,5,0)),"")</f>
        <v/>
      </c>
      <c r="H9" s="269">
        <f>+B4*B5/SUM(B5:B6)</f>
        <v>1612.8000000000002</v>
      </c>
      <c r="I9" s="269">
        <f>IF(B9=0,0,$B$10/$B$9)</f>
        <v>0</v>
      </c>
      <c r="J9" s="269">
        <f>+H9*I9</f>
        <v>0</v>
      </c>
      <c r="K9" s="269">
        <f>+C27</f>
        <v>0</v>
      </c>
      <c r="L9" s="269">
        <f t="shared" ref="L9:L10" si="0">+J9-K9</f>
        <v>0</v>
      </c>
      <c r="M9" s="269">
        <f>IF(SUM(B28:B29)=0,0,B29/SUM(B28:B29))</f>
        <v>0</v>
      </c>
      <c r="N9" s="269">
        <f>+L9*M9</f>
        <v>0</v>
      </c>
      <c r="O9" s="269">
        <f>+N9/B5</f>
        <v>0</v>
      </c>
      <c r="P9" s="269">
        <f>+O9/5</f>
        <v>0</v>
      </c>
      <c r="Q9" s="270">
        <f>+P9/24</f>
        <v>0</v>
      </c>
    </row>
    <row r="10" spans="1:17" x14ac:dyDescent="0.2">
      <c r="A10" s="4" t="s">
        <v>77</v>
      </c>
      <c r="B10" s="51">
        <f>IFERROR(Aufgabenplanung!B26,0)</f>
        <v>0</v>
      </c>
      <c r="C10" s="49">
        <f>VLOOKUP(C9,Aufgabenplanung!$E:$G,2,0)</f>
        <v>0</v>
      </c>
      <c r="D10" s="49">
        <f>VLOOKUP(D9,Aufgabenplanung!$E:$G,2,0)</f>
        <v>0</v>
      </c>
      <c r="E10" s="49">
        <f>VLOOKUP(E9,Aufgabenplanung!$E:$G,2,0)</f>
        <v>0</v>
      </c>
      <c r="F10" s="49">
        <f>VLOOKUP(F9,Aufgabenplanung!$E:$G,2,0)</f>
        <v>0</v>
      </c>
      <c r="H10" s="269">
        <f>+B4*B6/SUM(B5:B6)</f>
        <v>285.60000000000002</v>
      </c>
      <c r="I10" s="269">
        <f>IF(B9=0,0,$B$10/$B$9)</f>
        <v>0</v>
      </c>
      <c r="J10" s="269">
        <f>+H10*I10</f>
        <v>0</v>
      </c>
      <c r="K10" s="269">
        <v>0</v>
      </c>
      <c r="L10" s="269">
        <f t="shared" si="0"/>
        <v>0</v>
      </c>
      <c r="M10" s="269">
        <f>IF(SUM(B28:B29)=0,0,B29/SUM(B28:B29))</f>
        <v>0</v>
      </c>
      <c r="N10" s="269">
        <f>+L10*M10</f>
        <v>0</v>
      </c>
      <c r="O10" s="269">
        <f>+N10/B6</f>
        <v>0</v>
      </c>
      <c r="P10" s="269">
        <f>+O10/5</f>
        <v>0</v>
      </c>
      <c r="Q10" s="270">
        <f>+P10/24</f>
        <v>0</v>
      </c>
    </row>
    <row r="11" spans="1:17" x14ac:dyDescent="0.2">
      <c r="A11" s="4" t="s">
        <v>78</v>
      </c>
      <c r="B11" s="51">
        <f>Aufgabenplanung!B27+Aufgabenplanung!B28</f>
        <v>0</v>
      </c>
      <c r="C11" s="49">
        <f>VLOOKUP(C9,Aufgabenplanung!$E:$G,3,0)+VLOOKUP(C9,Aufgabenplanung!$E:$H,4,0)</f>
        <v>0</v>
      </c>
      <c r="D11" s="49">
        <f>VLOOKUP(D9,Aufgabenplanung!$E:$G,3,0)+VLOOKUP(D9,Aufgabenplanung!$E:$H,4,0)</f>
        <v>0</v>
      </c>
      <c r="E11" s="49">
        <f>VLOOKUP(E9,Aufgabenplanung!$E:$G,3,0)+VLOOKUP(E9,Aufgabenplanung!$E:$H,4,0)</f>
        <v>0</v>
      </c>
      <c r="F11" s="49">
        <f>VLOOKUP(F9,Aufgabenplanung!$E:$G,3,0)+VLOOKUP(F9,Aufgabenplanung!$E:$H,4,0)</f>
        <v>0</v>
      </c>
    </row>
    <row r="12" spans="1:17" x14ac:dyDescent="0.2">
      <c r="A12" s="27" t="s">
        <v>198</v>
      </c>
      <c r="B12" s="51">
        <f>IF(C9="",B10*$B$5*0.75,"")</f>
        <v>0</v>
      </c>
      <c r="C12" s="49">
        <f>+C10*$B$5*0.75</f>
        <v>0</v>
      </c>
      <c r="D12" s="49">
        <f>+D10*$B$5*0.75</f>
        <v>0</v>
      </c>
      <c r="E12" s="49">
        <f>+E10*$B$5*0.75</f>
        <v>0</v>
      </c>
      <c r="F12" s="49">
        <f>+F10*$B$5*0.75</f>
        <v>0</v>
      </c>
    </row>
    <row r="13" spans="1:17" x14ac:dyDescent="0.2">
      <c r="A13" s="27" t="s">
        <v>197</v>
      </c>
      <c r="B13" s="52">
        <f>IFERROR(IF(C9="",B12/$B$4,""),0)</f>
        <v>0</v>
      </c>
      <c r="C13" s="50">
        <f>IFERROR(C12/$B$4,0)</f>
        <v>0</v>
      </c>
      <c r="D13" s="50">
        <f>IFERROR(D12/$B$4,0)</f>
        <v>0</v>
      </c>
      <c r="E13" s="50">
        <f>IFERROR(E12/$B$4,0)</f>
        <v>0</v>
      </c>
      <c r="F13" s="50">
        <f>IFERROR(F12/$B$4,0)</f>
        <v>0</v>
      </c>
    </row>
    <row r="14" spans="1:17" x14ac:dyDescent="0.2">
      <c r="A14" s="27" t="s">
        <v>196</v>
      </c>
      <c r="B14" s="52">
        <f>IF(C9="",IFERROR(VLOOKUP($B$2&amp;B$9,Grundlagen!$AG:$AJ,3,0)*B10/B9,0),"")</f>
        <v>0</v>
      </c>
      <c r="C14" s="50">
        <f>IFERROR(VLOOKUP($B$2&amp;C$9,Grundlagen!$AG:$AJ,3,0)*C10/C9,0)</f>
        <v>0</v>
      </c>
      <c r="D14" s="50">
        <f>IFERROR(VLOOKUP($B$2&amp;D$9,Grundlagen!$AG:$AJ,3,0)*D10/D9,0)</f>
        <v>0</v>
      </c>
      <c r="E14" s="50">
        <f>IFERROR(VLOOKUP($B$2&amp;E$9,Grundlagen!$AG:$AJ,3,0)*E10/E9,0)</f>
        <v>0</v>
      </c>
      <c r="F14" s="50">
        <f>IFERROR(VLOOKUP($B$2&amp;F$9,Grundlagen!$AG:$AJ,3,0)*F10/F9,0)</f>
        <v>0</v>
      </c>
    </row>
    <row r="15" spans="1:17" x14ac:dyDescent="0.2">
      <c r="A15" s="27" t="s">
        <v>199</v>
      </c>
      <c r="B15" s="51">
        <f>IF(C9="",IFERROR(B14*$B$4,0),"")</f>
        <v>0</v>
      </c>
      <c r="C15" s="49">
        <f>IFERROR(C14*$B$4,0)</f>
        <v>0</v>
      </c>
      <c r="D15" s="49">
        <f t="shared" ref="D15:F15" si="1">IFERROR(D14*$B$4,0)</f>
        <v>0</v>
      </c>
      <c r="E15" s="49">
        <f t="shared" si="1"/>
        <v>0</v>
      </c>
      <c r="F15" s="49">
        <f t="shared" si="1"/>
        <v>0</v>
      </c>
    </row>
    <row r="16" spans="1:17" ht="15" x14ac:dyDescent="0.2">
      <c r="A16" s="27" t="s">
        <v>204</v>
      </c>
      <c r="B16" s="56">
        <f>IFERROR(IF(C9="",$B$7*B10/B9,""),0)</f>
        <v>0</v>
      </c>
      <c r="C16" s="56">
        <f>IFERROR($B$7*C10/C9,0)</f>
        <v>0</v>
      </c>
      <c r="D16" s="56">
        <f t="shared" ref="D16:F16" si="2">IFERROR($B$7*D10/D9,0)</f>
        <v>0</v>
      </c>
      <c r="E16" s="56">
        <f t="shared" si="2"/>
        <v>0</v>
      </c>
      <c r="F16" s="56">
        <f t="shared" si="2"/>
        <v>0</v>
      </c>
      <c r="I16" s="2"/>
    </row>
    <row r="17" spans="1:16" x14ac:dyDescent="0.2">
      <c r="A17" s="27" t="s">
        <v>205</v>
      </c>
      <c r="B17" s="57">
        <f>IFERROR(B14*B16/B15,0)</f>
        <v>0</v>
      </c>
      <c r="C17" s="57">
        <f>IFERROR(C14*C16/C15,0)</f>
        <v>0</v>
      </c>
      <c r="D17" s="57">
        <f t="shared" ref="D17:F17" si="3">IFERROR(D14*D16/D15,0)</f>
        <v>0</v>
      </c>
      <c r="E17" s="57">
        <f t="shared" si="3"/>
        <v>0</v>
      </c>
      <c r="F17" s="57">
        <f t="shared" si="3"/>
        <v>0</v>
      </c>
    </row>
    <row r="18" spans="1:16" x14ac:dyDescent="0.2">
      <c r="A18" s="27" t="s">
        <v>200</v>
      </c>
      <c r="B18" s="52">
        <f>IF(C9="",IFERROR(B10/B9-B13-B14,0),"")</f>
        <v>0</v>
      </c>
      <c r="C18" s="50">
        <f>IFERROR(C10/C9-C13-C14,0)</f>
        <v>0</v>
      </c>
      <c r="D18" s="50">
        <f>IFERROR(D10/D9-D13-D14,0)</f>
        <v>0</v>
      </c>
      <c r="E18" s="50">
        <f t="shared" ref="E18:F18" si="4">IFERROR(E10/E9-E13-E14,0)</f>
        <v>0</v>
      </c>
      <c r="F18" s="50">
        <f t="shared" si="4"/>
        <v>0</v>
      </c>
    </row>
    <row r="19" spans="1:16" x14ac:dyDescent="0.2">
      <c r="A19" s="27" t="s">
        <v>201</v>
      </c>
      <c r="B19" s="51">
        <f>IF(C9="",B18*$B$4,"")</f>
        <v>0</v>
      </c>
      <c r="C19" s="49">
        <f>+C18*$B$4</f>
        <v>0</v>
      </c>
      <c r="D19" s="49">
        <f>+D18*$B$4</f>
        <v>0</v>
      </c>
      <c r="E19" s="49">
        <f t="shared" ref="E19:F19" si="5">+E18*$B$4</f>
        <v>0</v>
      </c>
      <c r="F19" s="49">
        <f t="shared" si="5"/>
        <v>0</v>
      </c>
    </row>
    <row r="20" spans="1:16" x14ac:dyDescent="0.2">
      <c r="A20" s="27" t="s">
        <v>202</v>
      </c>
      <c r="B20" s="51"/>
      <c r="C20" s="49">
        <f>IFERROR(C11/C9*$B$8,0)</f>
        <v>0</v>
      </c>
      <c r="D20" s="49">
        <f t="shared" ref="D20:F20" si="6">IFERROR(D11/D9*$B$8,0)</f>
        <v>0</v>
      </c>
      <c r="E20" s="49">
        <f t="shared" si="6"/>
        <v>0</v>
      </c>
      <c r="F20" s="49">
        <f t="shared" si="6"/>
        <v>0</v>
      </c>
    </row>
    <row r="21" spans="1:16" x14ac:dyDescent="0.2">
      <c r="A21" s="27" t="s">
        <v>203</v>
      </c>
      <c r="B21" s="51"/>
      <c r="C21" s="50">
        <f>IFERROR(C20/$B$4,0)</f>
        <v>0</v>
      </c>
      <c r="D21" s="50">
        <f t="shared" ref="D21:F21" si="7">IFERROR(D20/$B$4,0)</f>
        <v>0</v>
      </c>
      <c r="E21" s="50">
        <f t="shared" si="7"/>
        <v>0</v>
      </c>
      <c r="F21" s="50">
        <f t="shared" si="7"/>
        <v>0</v>
      </c>
    </row>
    <row r="23" spans="1:16" x14ac:dyDescent="0.2">
      <c r="A23" s="27" t="s">
        <v>166</v>
      </c>
      <c r="B23" s="71">
        <f>IFERROR((B4-B7)/IF(IFERROR(HLOOKUP(B2,Dropdowns!G1:I1,1,0),TRUE)=TRUE,B9,Aufgabenplanung!$B$25),0)</f>
        <v>0</v>
      </c>
      <c r="C23" s="32"/>
    </row>
    <row r="24" spans="1:16" x14ac:dyDescent="0.2">
      <c r="A24" s="27" t="s">
        <v>193</v>
      </c>
      <c r="B24" s="23">
        <f>IFERROR((B4-B7)/IF(IFERROR(HLOOKUP(B2,Dropdowns!G1:I1,1,0),TRUE)=TRUE,B9,22),0)</f>
        <v>0</v>
      </c>
      <c r="C24" s="32"/>
    </row>
    <row r="25" spans="1:16" x14ac:dyDescent="0.2">
      <c r="A25" s="30"/>
      <c r="B25" s="9"/>
    </row>
    <row r="26" spans="1:16" ht="38.25" x14ac:dyDescent="0.2">
      <c r="A26" s="10" t="s">
        <v>115</v>
      </c>
      <c r="B26" s="177" t="s">
        <v>237</v>
      </c>
      <c r="C26" s="11" t="s">
        <v>116</v>
      </c>
      <c r="D26" s="11" t="s">
        <v>117</v>
      </c>
      <c r="E26" s="11" t="s">
        <v>118</v>
      </c>
      <c r="F26" s="54" t="s">
        <v>195</v>
      </c>
      <c r="G26" s="54" t="s">
        <v>207</v>
      </c>
      <c r="H26" s="32"/>
      <c r="I26" s="54" t="s">
        <v>209</v>
      </c>
      <c r="J26" s="54" t="s">
        <v>210</v>
      </c>
      <c r="L26" s="268" t="s">
        <v>119</v>
      </c>
      <c r="M26" s="268"/>
      <c r="N26" s="268" t="s">
        <v>255</v>
      </c>
      <c r="O26" s="268" t="s">
        <v>243</v>
      </c>
      <c r="P26" s="268"/>
    </row>
    <row r="27" spans="1:16" ht="15" x14ac:dyDescent="0.2">
      <c r="A27" s="4" t="s">
        <v>119</v>
      </c>
      <c r="B27" s="14">
        <f>SUM(B13:F13)</f>
        <v>0</v>
      </c>
      <c r="C27" s="12">
        <f>B27*$B$4</f>
        <v>0</v>
      </c>
      <c r="D27" s="47">
        <f>IFERROR(C27/$B5,0)</f>
        <v>0</v>
      </c>
      <c r="E27" s="48">
        <v>0</v>
      </c>
      <c r="F27" s="55">
        <f>IFERROR(C27/SUM($C$27:$C$29),0)</f>
        <v>0</v>
      </c>
      <c r="G27" s="65">
        <f>SUM(C10:F10)</f>
        <v>0</v>
      </c>
      <c r="H27" s="23"/>
      <c r="I27" s="70">
        <f>+D27/24/5</f>
        <v>0</v>
      </c>
      <c r="J27" s="70">
        <f t="shared" ref="J27:J29" si="8">+E27/24/5</f>
        <v>0</v>
      </c>
      <c r="L27" s="70"/>
      <c r="M27" s="70"/>
      <c r="N27" s="70"/>
      <c r="O27" s="70"/>
      <c r="P27" s="70"/>
    </row>
    <row r="28" spans="1:16" ht="15" x14ac:dyDescent="0.2">
      <c r="A28" s="27" t="s">
        <v>194</v>
      </c>
      <c r="B28" s="14">
        <f>SUM(B18:F18)</f>
        <v>0</v>
      </c>
      <c r="C28" s="66">
        <f>B28*$B$4</f>
        <v>0</v>
      </c>
      <c r="D28" s="47">
        <f>IFERROR(($B$4*$B$5/SUM($B$5:$B$6)*$B$10/$B$9-$C$27)
*B28/SUM($B$28:$B$29)/$B$5,0)</f>
        <v>0</v>
      </c>
      <c r="E28" s="48">
        <f t="shared" ref="E28:E33" si="9">IFERROR(($B$4*$B$6/SUM($B$5:$B$6)*$B$10/$B$9)
*B28/SUM($B$28:$B$29)/$B$6,0)</f>
        <v>0</v>
      </c>
      <c r="F28" s="55">
        <f t="shared" ref="F28:F33" si="10">IFERROR(C28/SUM($C$27:$C$29),0)</f>
        <v>0</v>
      </c>
      <c r="G28" s="65">
        <f>SUM(C10:F10)</f>
        <v>0</v>
      </c>
      <c r="H28" s="23"/>
      <c r="I28" s="70">
        <f t="shared" ref="I28" si="11">+D28/24/5</f>
        <v>0</v>
      </c>
      <c r="J28" s="70">
        <f t="shared" si="8"/>
        <v>0</v>
      </c>
      <c r="L28" s="70"/>
      <c r="M28" s="70"/>
      <c r="N28" s="70"/>
      <c r="O28" s="70"/>
      <c r="P28" s="70"/>
    </row>
    <row r="29" spans="1:16" ht="15" x14ac:dyDescent="0.2">
      <c r="A29" s="67" t="s">
        <v>208</v>
      </c>
      <c r="B29" s="58">
        <f>SUM(B14:F14)-SUM(B17:F17)</f>
        <v>0</v>
      </c>
      <c r="C29" s="59">
        <f>B29*$B$4</f>
        <v>0</v>
      </c>
      <c r="D29" s="47">
        <f t="shared" ref="D29:D33" si="12">IFERROR(($B$4*$B$5/SUM($B$5:$B$6)*$B$10/$B$9-$C$27)
*B29/SUM($B$28:$B$29)/$B$5,0)</f>
        <v>0</v>
      </c>
      <c r="E29" s="60">
        <f t="shared" si="9"/>
        <v>0</v>
      </c>
      <c r="F29" s="55">
        <f t="shared" si="10"/>
        <v>0</v>
      </c>
      <c r="G29" s="65">
        <f>SUM(C10:F10)</f>
        <v>0</v>
      </c>
      <c r="H29" s="31"/>
      <c r="I29" s="70">
        <f>+D29/24/5</f>
        <v>0</v>
      </c>
      <c r="J29" s="70">
        <f t="shared" si="8"/>
        <v>0</v>
      </c>
      <c r="L29" s="70"/>
      <c r="M29" s="70"/>
      <c r="N29" s="70"/>
      <c r="O29" s="70"/>
      <c r="P29" s="70"/>
    </row>
    <row r="30" spans="1:16" ht="15" x14ac:dyDescent="0.2">
      <c r="A30" s="63" t="str">
        <f>+C9</f>
        <v/>
      </c>
      <c r="B30" s="64">
        <f>+C14-C17</f>
        <v>0</v>
      </c>
      <c r="C30" s="59">
        <f t="shared" ref="C30:C33" si="13">B30*$B$4</f>
        <v>0</v>
      </c>
      <c r="D30" s="47">
        <f t="shared" si="12"/>
        <v>0</v>
      </c>
      <c r="E30" s="60">
        <f t="shared" si="9"/>
        <v>0</v>
      </c>
      <c r="F30" s="55">
        <f t="shared" si="10"/>
        <v>0</v>
      </c>
      <c r="G30" s="65">
        <f>C10</f>
        <v>0</v>
      </c>
      <c r="H30" s="23"/>
      <c r="I30" s="70">
        <f t="shared" ref="I30:I33" si="14">+D30/24/5</f>
        <v>0</v>
      </c>
      <c r="J30" s="70">
        <f t="shared" ref="J30:J33" si="15">+E30/24/5</f>
        <v>0</v>
      </c>
      <c r="L30" s="70">
        <f>+C10*45/60/24/5</f>
        <v>0</v>
      </c>
      <c r="M30" s="70">
        <v>0</v>
      </c>
      <c r="N30" s="70">
        <f>IF(C9="",0,C10/C9*42/24/5)</f>
        <v>0</v>
      </c>
      <c r="O30" s="70">
        <f>+$N30-L30-I30</f>
        <v>0</v>
      </c>
      <c r="P30" s="70">
        <f t="shared" ref="P30:P33" si="16">+$N30-M30-J30</f>
        <v>0</v>
      </c>
    </row>
    <row r="31" spans="1:16" ht="15" x14ac:dyDescent="0.2">
      <c r="A31" s="63" t="str">
        <f>+D9</f>
        <v/>
      </c>
      <c r="B31" s="64">
        <f>+D14-D17</f>
        <v>0</v>
      </c>
      <c r="C31" s="59">
        <f t="shared" si="13"/>
        <v>0</v>
      </c>
      <c r="D31" s="47">
        <f t="shared" si="12"/>
        <v>0</v>
      </c>
      <c r="E31" s="60">
        <f t="shared" si="9"/>
        <v>0</v>
      </c>
      <c r="F31" s="55">
        <f t="shared" si="10"/>
        <v>0</v>
      </c>
      <c r="G31" s="65">
        <f>D10</f>
        <v>0</v>
      </c>
      <c r="H31" s="23"/>
      <c r="I31" s="70">
        <f t="shared" si="14"/>
        <v>0</v>
      </c>
      <c r="J31" s="70">
        <f t="shared" si="15"/>
        <v>0</v>
      </c>
      <c r="L31" s="70">
        <f>+D10*45/60/24/5</f>
        <v>0</v>
      </c>
      <c r="M31" s="70">
        <v>0</v>
      </c>
      <c r="N31" s="70">
        <f>IF(D9="",0,D10/D9*42/24/5)</f>
        <v>0</v>
      </c>
      <c r="O31" s="70">
        <f t="shared" ref="O31:O33" si="17">+$N31-L31-I31</f>
        <v>0</v>
      </c>
      <c r="P31" s="70">
        <f t="shared" si="16"/>
        <v>0</v>
      </c>
    </row>
    <row r="32" spans="1:16" ht="15" x14ac:dyDescent="0.2">
      <c r="A32" s="63" t="str">
        <f>+E9</f>
        <v/>
      </c>
      <c r="B32" s="64">
        <f>+E14-E17</f>
        <v>0</v>
      </c>
      <c r="C32" s="59">
        <f t="shared" si="13"/>
        <v>0</v>
      </c>
      <c r="D32" s="47">
        <f t="shared" si="12"/>
        <v>0</v>
      </c>
      <c r="E32" s="60">
        <f t="shared" si="9"/>
        <v>0</v>
      </c>
      <c r="F32" s="55">
        <f t="shared" si="10"/>
        <v>0</v>
      </c>
      <c r="G32" s="65">
        <f>E10</f>
        <v>0</v>
      </c>
      <c r="H32" s="23"/>
      <c r="I32" s="70">
        <f t="shared" si="14"/>
        <v>0</v>
      </c>
      <c r="J32" s="70">
        <f t="shared" si="15"/>
        <v>0</v>
      </c>
      <c r="L32" s="70">
        <f>+E10*45/60/24/5</f>
        <v>0</v>
      </c>
      <c r="M32" s="70">
        <v>0</v>
      </c>
      <c r="N32" s="70">
        <f>IF(E9="",0,E10/E9*42/24/5)</f>
        <v>0</v>
      </c>
      <c r="O32" s="70">
        <f t="shared" si="17"/>
        <v>0</v>
      </c>
      <c r="P32" s="70">
        <f t="shared" si="16"/>
        <v>0</v>
      </c>
    </row>
    <row r="33" spans="1:16" ht="15" x14ac:dyDescent="0.2">
      <c r="A33" s="63" t="str">
        <f>+F9</f>
        <v/>
      </c>
      <c r="B33" s="64">
        <f>+F14-F17</f>
        <v>0</v>
      </c>
      <c r="C33" s="59">
        <f t="shared" si="13"/>
        <v>0</v>
      </c>
      <c r="D33" s="47">
        <f t="shared" si="12"/>
        <v>0</v>
      </c>
      <c r="E33" s="60">
        <f t="shared" si="9"/>
        <v>0</v>
      </c>
      <c r="F33" s="55">
        <f t="shared" si="10"/>
        <v>0</v>
      </c>
      <c r="G33" s="65">
        <f>F10</f>
        <v>0</v>
      </c>
      <c r="H33" s="23"/>
      <c r="I33" s="70">
        <f t="shared" si="14"/>
        <v>0</v>
      </c>
      <c r="J33" s="70">
        <f t="shared" si="15"/>
        <v>0</v>
      </c>
      <c r="L33" s="70">
        <f>+F10*45/60/24/5</f>
        <v>0</v>
      </c>
      <c r="M33" s="70">
        <v>0</v>
      </c>
      <c r="N33" s="70">
        <f>IF(F9="",0,F10/F9*42/24/5)</f>
        <v>0</v>
      </c>
      <c r="O33" s="70">
        <f t="shared" si="17"/>
        <v>0</v>
      </c>
      <c r="P33" s="70">
        <f t="shared" si="16"/>
        <v>0</v>
      </c>
    </row>
    <row r="34" spans="1:16" ht="15" x14ac:dyDescent="0.2">
      <c r="C34" s="61" t="s">
        <v>120</v>
      </c>
      <c r="D34" s="62">
        <f>SUM(D27:D29)</f>
        <v>0</v>
      </c>
      <c r="E34" s="62">
        <f>SUM(E27:E29)</f>
        <v>0</v>
      </c>
      <c r="F34" s="28" t="s">
        <v>11</v>
      </c>
      <c r="G34" s="28"/>
      <c r="H34" s="23"/>
    </row>
    <row r="35" spans="1:16" ht="15" x14ac:dyDescent="0.2">
      <c r="C35" s="4" t="s">
        <v>121</v>
      </c>
      <c r="D35" s="15">
        <f>D34*$B$5</f>
        <v>0</v>
      </c>
      <c r="E35" s="15">
        <f>+E34*B6</f>
        <v>0</v>
      </c>
      <c r="F35" s="15">
        <f>SUM(D35:E35)</f>
        <v>0</v>
      </c>
      <c r="I35" s="53"/>
    </row>
    <row r="36" spans="1:16" ht="15" x14ac:dyDescent="0.2">
      <c r="A36" s="25" t="s">
        <v>160</v>
      </c>
      <c r="B36" s="24">
        <f>IFERROR(C36/B4,0)</f>
        <v>0</v>
      </c>
      <c r="C36" s="13">
        <f>IF(C9="",IF(B9=0,0,+B11*B8/B9),SUM(C20:F20))</f>
        <v>0</v>
      </c>
      <c r="D36" s="13">
        <f>IFERROR($C$36/SUM($B$5:$B$6),0)</f>
        <v>0</v>
      </c>
      <c r="E36" s="13">
        <f>IFERROR($C$36/SUM($B$5:$B$6),0)</f>
        <v>0</v>
      </c>
      <c r="G36" s="29"/>
      <c r="H36" s="29"/>
      <c r="I36" s="70">
        <f>+D36/24/5</f>
        <v>0</v>
      </c>
      <c r="J36" s="70">
        <f>+E36/24/5</f>
        <v>0</v>
      </c>
    </row>
    <row r="37" spans="1:16" ht="15" x14ac:dyDescent="0.2">
      <c r="B37" s="27" t="s">
        <v>161</v>
      </c>
      <c r="C37" s="4"/>
      <c r="D37" s="15">
        <f>+D34+D36</f>
        <v>0</v>
      </c>
      <c r="E37" s="15">
        <f>+E34+E36</f>
        <v>0</v>
      </c>
      <c r="F37" s="28" t="s">
        <v>11</v>
      </c>
      <c r="G37" s="26"/>
    </row>
    <row r="38" spans="1:16" ht="15" x14ac:dyDescent="0.2">
      <c r="B38" s="27" t="s">
        <v>162</v>
      </c>
      <c r="C38" s="4"/>
      <c r="D38" s="15">
        <f>D37*$B$5</f>
        <v>0</v>
      </c>
      <c r="E38" s="15">
        <f>E37*$B$6</f>
        <v>0</v>
      </c>
      <c r="F38" s="15">
        <f>SUM(D38:E38)</f>
        <v>0</v>
      </c>
      <c r="H38" s="17"/>
      <c r="J38" s="69"/>
      <c r="K38" s="69"/>
    </row>
    <row r="39" spans="1:16" ht="15" x14ac:dyDescent="0.2">
      <c r="A39" s="2"/>
      <c r="B39" s="2"/>
      <c r="C39" s="2"/>
      <c r="D39" s="2"/>
      <c r="E39" s="2"/>
    </row>
    <row r="40" spans="1:16" ht="15" x14ac:dyDescent="0.2">
      <c r="A40" s="2"/>
      <c r="B40" s="2"/>
      <c r="C40" s="2"/>
      <c r="D40" s="2"/>
      <c r="E40" s="2"/>
    </row>
    <row r="41" spans="1:16" ht="15.75" x14ac:dyDescent="0.2">
      <c r="A41" s="68" t="s">
        <v>206</v>
      </c>
      <c r="B41" s="16"/>
      <c r="C41" s="16" t="s">
        <v>12</v>
      </c>
      <c r="D41" s="16" t="s">
        <v>13</v>
      </c>
      <c r="E41" s="16" t="s">
        <v>122</v>
      </c>
    </row>
    <row r="42" spans="1:16" ht="15" x14ac:dyDescent="0.2">
      <c r="A42" s="21">
        <f>IFERROR(Aufgabenplanung!B20*B10/B9,0)</f>
        <v>0</v>
      </c>
      <c r="B42" s="16" t="s">
        <v>123</v>
      </c>
      <c r="C42" s="18">
        <f>IF(Aufgabenplanung!$B$16=0,0,+C27*(Aufgabenplanung!$B$20+Aufgabenplanung!$B$17)/Aufgabenplanung!$B$16)</f>
        <v>0</v>
      </c>
      <c r="D42" s="18">
        <f>IF(Aufgabenplanung!$B$16=0,0,+C28*(Aufgabenplanung!$B$20+Aufgabenplanung!$B$17)/Aufgabenplanung!$B$16)</f>
        <v>0</v>
      </c>
      <c r="E42" s="18">
        <f>IF(Aufgabenplanung!$B$16=0,0,+C29*(Aufgabenplanung!$B$20+Aufgabenplanung!$B$17)/Aufgabenplanung!$B$16)</f>
        <v>0</v>
      </c>
    </row>
    <row r="43" spans="1:16" ht="15" x14ac:dyDescent="0.2">
      <c r="A43" s="19">
        <f>SUM(C43:E43)</f>
        <v>0</v>
      </c>
      <c r="B43" s="16" t="s">
        <v>124</v>
      </c>
      <c r="C43" s="20">
        <f>IFERROR(C42/SUM($C$42:$E$42),0)</f>
        <v>0</v>
      </c>
      <c r="D43" s="20">
        <f>IFERROR(D42/SUM($C$42:$E$42),0)</f>
        <v>0</v>
      </c>
      <c r="E43" s="20">
        <f>IFERROR(E42/SUM($C$42:$E$42),0)</f>
        <v>0</v>
      </c>
    </row>
    <row r="44" spans="1:16" ht="15" x14ac:dyDescent="0.2">
      <c r="A44" s="2"/>
      <c r="B44" s="2"/>
      <c r="C44" s="2"/>
      <c r="D44" s="2"/>
      <c r="E44" s="2"/>
    </row>
    <row r="47" spans="1:16" x14ac:dyDescent="0.2">
      <c r="C47" s="17"/>
      <c r="D47" s="17"/>
      <c r="E47" s="17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1">
    <tabColor theme="7" tint="0.39997558519241921"/>
  </sheetPr>
  <dimension ref="A1:L92"/>
  <sheetViews>
    <sheetView tabSelected="1" zoomScaleNormal="100" zoomScaleSheetLayoutView="100" workbookViewId="0"/>
  </sheetViews>
  <sheetFormatPr baseColWidth="10" defaultColWidth="9.77734375" defaultRowHeight="15" x14ac:dyDescent="0.2"/>
  <cols>
    <col min="1" max="1" width="43.109375" style="165" customWidth="1"/>
    <col min="2" max="2" width="13.6640625" style="166" customWidth="1"/>
    <col min="3" max="3" width="15.21875" style="165" customWidth="1"/>
    <col min="4" max="4" width="7.109375" style="167" customWidth="1"/>
    <col min="5" max="7" width="9.77734375" style="165"/>
    <col min="8" max="8" width="11" style="165" bestFit="1" customWidth="1"/>
    <col min="9" max="9" width="31.21875" style="165" bestFit="1" customWidth="1"/>
    <col min="10" max="16384" width="9.77734375" style="165"/>
  </cols>
  <sheetData>
    <row r="1" spans="1:12" s="77" customFormat="1" ht="18.75" customHeight="1" x14ac:dyDescent="0.2">
      <c r="A1" s="72" t="s">
        <v>58</v>
      </c>
      <c r="B1" s="73"/>
      <c r="C1" s="74"/>
      <c r="D1" s="75"/>
      <c r="E1" s="76"/>
      <c r="F1" s="76"/>
      <c r="G1" s="76"/>
      <c r="H1" s="76"/>
      <c r="I1" s="76"/>
    </row>
    <row r="2" spans="1:12" s="82" customFormat="1" ht="29.25" customHeight="1" x14ac:dyDescent="0.2">
      <c r="A2" s="78"/>
      <c r="B2" s="79"/>
      <c r="C2" s="78"/>
      <c r="D2" s="80"/>
      <c r="E2" s="81" t="s">
        <v>170</v>
      </c>
      <c r="F2" s="81" t="s">
        <v>168</v>
      </c>
      <c r="G2" s="81" t="s">
        <v>212</v>
      </c>
      <c r="H2" s="81" t="s">
        <v>213</v>
      </c>
      <c r="I2" s="78"/>
    </row>
    <row r="3" spans="1:12" s="82" customFormat="1" ht="18.75" customHeight="1" x14ac:dyDescent="0.2">
      <c r="A3" s="83" t="s">
        <v>59</v>
      </c>
      <c r="B3" s="84"/>
      <c r="C3" s="85"/>
      <c r="D3" s="78"/>
      <c r="E3" s="86" t="s">
        <v>11</v>
      </c>
      <c r="F3" s="87">
        <f t="array" ref="F3">IFERROR(ROUND(SUMPRODUCT(IFERROR($E$4:$E$7^-1,0),F4:F7)*B25,2),"")</f>
        <v>0</v>
      </c>
      <c r="G3" s="88">
        <f t="array" ref="G3">IFERROR(ROUND(SUMPRODUCT(IFERROR($E$4:$E$7^-1,0),G4:G7)*B25,2),"")</f>
        <v>0</v>
      </c>
      <c r="H3" s="88">
        <f t="array" ref="H3">IFERROR(ROUND(SUMPRODUCT(IFERROR($E$4:$E$7^-1,0),H4:H7)*B25,2),"")</f>
        <v>0</v>
      </c>
      <c r="I3" s="89" t="s">
        <v>222</v>
      </c>
    </row>
    <row r="4" spans="1:12" s="82" customFormat="1" ht="18.75" customHeight="1" x14ac:dyDescent="0.2">
      <c r="A4" s="90" t="s">
        <v>60</v>
      </c>
      <c r="B4" s="279"/>
      <c r="C4" s="280"/>
      <c r="D4" s="78"/>
      <c r="E4" s="91" t="str">
        <f>IFERROR(IF(HLOOKUP(B4:B4,Dropdowns!1:5,2,0)=0,"",HLOOKUP(B4:B4,Dropdowns!1:5,2,0)),"")</f>
        <v/>
      </c>
      <c r="F4" s="92"/>
      <c r="G4" s="92"/>
      <c r="H4" s="92"/>
      <c r="I4" s="78"/>
    </row>
    <row r="5" spans="1:12" s="82" customFormat="1" ht="18.75" customHeight="1" x14ac:dyDescent="0.2">
      <c r="A5" s="90" t="s">
        <v>61</v>
      </c>
      <c r="B5" s="279"/>
      <c r="C5" s="279"/>
      <c r="D5" s="80"/>
      <c r="E5" s="91" t="str">
        <f>IFERROR(IF(HLOOKUP(B4:B4,Dropdowns!1:5,3,0)=0,"",HLOOKUP(B4:B4,Dropdowns!1:5,3,0)),"")</f>
        <v/>
      </c>
      <c r="F5" s="92"/>
      <c r="G5" s="92"/>
      <c r="H5" s="92"/>
      <c r="I5" s="78"/>
    </row>
    <row r="6" spans="1:12" s="82" customFormat="1" ht="18.75" customHeight="1" x14ac:dyDescent="0.2">
      <c r="A6" s="90" t="s">
        <v>62</v>
      </c>
      <c r="B6" s="281" t="str">
        <f>+Grundlagen!B2</f>
        <v>2026/2027</v>
      </c>
      <c r="C6" s="282"/>
      <c r="D6" s="93"/>
      <c r="E6" s="91" t="str">
        <f>IFERROR(IF(HLOOKUP(B4:B4,Dropdowns!1:5,4,0)=0,"",HLOOKUP(B4:B4,Dropdowns!1:5,4,0)),"")</f>
        <v/>
      </c>
      <c r="F6" s="94"/>
      <c r="G6" s="94"/>
      <c r="H6" s="94"/>
      <c r="I6" s="78"/>
      <c r="K6" s="175"/>
    </row>
    <row r="7" spans="1:12" s="82" customFormat="1" ht="18.75" customHeight="1" x14ac:dyDescent="0.2">
      <c r="A7" s="78"/>
      <c r="B7" s="78"/>
      <c r="C7" s="78"/>
      <c r="D7" s="80"/>
      <c r="E7" s="91" t="str">
        <f>IFERROR(IF(HLOOKUP(B4:B4,Dropdowns!1:5,5,0)=0,"",HLOOKUP(B4:B4,Dropdowns!1:5,5,0)),"")</f>
        <v/>
      </c>
      <c r="F7" s="92"/>
      <c r="G7" s="92"/>
      <c r="H7" s="92"/>
      <c r="I7" s="78"/>
      <c r="K7" s="175"/>
    </row>
    <row r="8" spans="1:12" s="82" customFormat="1" ht="18.75" customHeight="1" x14ac:dyDescent="0.2">
      <c r="A8" s="83" t="s">
        <v>63</v>
      </c>
      <c r="B8" s="84"/>
      <c r="C8" s="85"/>
      <c r="D8" s="80"/>
      <c r="E8" s="78"/>
      <c r="F8" s="78"/>
      <c r="G8" s="78"/>
      <c r="H8" s="78"/>
      <c r="I8" s="78"/>
      <c r="K8" s="175"/>
    </row>
    <row r="9" spans="1:12" s="82" customFormat="1" ht="18.75" customHeight="1" x14ac:dyDescent="0.2">
      <c r="A9" s="90" t="s">
        <v>64</v>
      </c>
      <c r="B9" s="283"/>
      <c r="C9" s="283"/>
      <c r="D9" s="93"/>
      <c r="E9" s="78"/>
      <c r="F9" s="78"/>
      <c r="G9" s="78"/>
      <c r="H9" s="78"/>
      <c r="I9" s="95"/>
      <c r="K9" s="175"/>
    </row>
    <row r="10" spans="1:12" s="82" customFormat="1" ht="18.75" customHeight="1" x14ac:dyDescent="0.2">
      <c r="A10" s="90" t="s">
        <v>65</v>
      </c>
      <c r="B10" s="283"/>
      <c r="C10" s="283"/>
      <c r="D10" s="80"/>
      <c r="E10" s="78"/>
      <c r="F10" s="78"/>
      <c r="G10" s="78"/>
      <c r="H10" s="78"/>
      <c r="I10" s="78"/>
      <c r="K10" s="175"/>
    </row>
    <row r="11" spans="1:12" s="82" customFormat="1" ht="18.75" customHeight="1" x14ac:dyDescent="0.2">
      <c r="A11" s="90" t="s">
        <v>66</v>
      </c>
      <c r="B11" s="278"/>
      <c r="C11" s="278"/>
      <c r="D11" s="80"/>
      <c r="E11" s="78"/>
      <c r="F11" s="96"/>
      <c r="G11" s="78"/>
      <c r="H11" s="78"/>
      <c r="I11" s="78"/>
      <c r="K11" s="175"/>
    </row>
    <row r="12" spans="1:12" s="82" customFormat="1" ht="18.75" customHeight="1" x14ac:dyDescent="0.2">
      <c r="A12" s="97"/>
      <c r="B12" s="98"/>
      <c r="C12" s="99"/>
      <c r="D12" s="80"/>
      <c r="E12" s="78"/>
      <c r="F12" s="96"/>
      <c r="G12" s="78"/>
      <c r="H12" s="78"/>
      <c r="I12" s="78"/>
      <c r="K12" s="175"/>
    </row>
    <row r="13" spans="1:12" s="82" customFormat="1" ht="18.75" customHeight="1" x14ac:dyDescent="0.2">
      <c r="A13" s="83" t="s">
        <v>67</v>
      </c>
      <c r="B13" s="84"/>
      <c r="C13" s="85"/>
      <c r="D13" s="93"/>
      <c r="E13" s="78"/>
      <c r="F13" s="96"/>
      <c r="G13" s="78"/>
      <c r="H13" s="78"/>
      <c r="I13" s="78"/>
      <c r="K13" s="175"/>
    </row>
    <row r="14" spans="1:12" s="82" customFormat="1" ht="18.75" customHeight="1" x14ac:dyDescent="0.2">
      <c r="A14" s="90" t="s">
        <v>0</v>
      </c>
      <c r="B14" s="100">
        <f>IF(B6="",0,(Grundlagen!C2))</f>
        <v>2108.4</v>
      </c>
      <c r="C14" s="78"/>
      <c r="D14" s="93"/>
      <c r="E14" s="78"/>
      <c r="F14" s="96"/>
      <c r="G14" s="78"/>
      <c r="H14" s="78"/>
      <c r="I14" s="78"/>
      <c r="L14" s="173"/>
    </row>
    <row r="15" spans="1:12" s="82" customFormat="1" ht="18.75" customHeight="1" x14ac:dyDescent="0.2">
      <c r="A15" s="90" t="s">
        <v>68</v>
      </c>
      <c r="B15" s="101">
        <f>IF(B14=0,0,25*8.4)</f>
        <v>210</v>
      </c>
      <c r="C15" s="78"/>
      <c r="D15" s="93"/>
      <c r="E15" s="78"/>
      <c r="F15" s="96"/>
      <c r="G15" s="78"/>
      <c r="H15" s="78"/>
      <c r="I15" s="78"/>
    </row>
    <row r="16" spans="1:12" s="82" customFormat="1" ht="18.75" customHeight="1" x14ac:dyDescent="0.2">
      <c r="A16" s="90" t="s">
        <v>69</v>
      </c>
      <c r="B16" s="101">
        <f>+B14-B15</f>
        <v>1898.4</v>
      </c>
      <c r="C16" s="102"/>
      <c r="D16" s="93"/>
      <c r="E16" s="78"/>
      <c r="F16" s="96"/>
      <c r="G16" s="78"/>
      <c r="H16" s="78"/>
      <c r="I16" s="78"/>
    </row>
    <row r="17" spans="1:9" s="82" customFormat="1" ht="18.75" customHeight="1" x14ac:dyDescent="0.2">
      <c r="A17" s="90" t="str">
        <f>IF(B17="","Altersabhängige Ferien","Altersabhängige Ferientage in h ("&amp;TEXT(B17/8.4,"0.0")&amp;" Ferientage)")</f>
        <v>Altersabhängige Ferientage in h (0.0 Ferientage)</v>
      </c>
      <c r="B17" s="176">
        <f>IF(OR(B11="",B6=""),0,IF(OR(B11="",B6=""),0,(VLOOKUP(DATEDIF(B11+1,DATE(YEAR(DATE(LEFT(B6,4),8,1)),1,1),"y")+1,Grundlagen!$AB$4:$AD$6,3,1)*8.4*5/12+VLOOKUP(DATEDIF(B11+1,DATE(YEAR(DATE(RIGHT(B6,4),1,1)),1,1),"y")+1,Grundlagen!$AB$4:$AD$6,3,1)*8.4*7/12)-B15))</f>
        <v>0</v>
      </c>
      <c r="C17" s="78"/>
      <c r="D17" s="93"/>
      <c r="E17" s="78"/>
      <c r="F17" s="78"/>
      <c r="G17" s="78"/>
      <c r="H17" s="78"/>
      <c r="I17" s="78"/>
    </row>
    <row r="18" spans="1:9" s="82" customFormat="1" ht="18.75" customHeight="1" x14ac:dyDescent="0.2">
      <c r="A18" s="90" t="s">
        <v>70</v>
      </c>
      <c r="B18" s="92"/>
      <c r="C18" s="99"/>
      <c r="D18" s="93"/>
      <c r="E18" s="78"/>
      <c r="F18" s="78"/>
      <c r="G18" s="78"/>
      <c r="H18" s="78"/>
      <c r="I18" s="78"/>
    </row>
    <row r="19" spans="1:9" s="82" customFormat="1" ht="18.75" customHeight="1" x14ac:dyDescent="0.2">
      <c r="A19" s="90" t="s">
        <v>71</v>
      </c>
      <c r="B19" s="92"/>
      <c r="C19" s="99"/>
      <c r="D19" s="93"/>
      <c r="E19" s="78"/>
      <c r="F19" s="78"/>
      <c r="G19" s="78"/>
      <c r="H19" s="78"/>
      <c r="I19" s="78"/>
    </row>
    <row r="20" spans="1:9" s="82" customFormat="1" ht="18.75" customHeight="1" x14ac:dyDescent="0.2">
      <c r="A20" s="90" t="s">
        <v>72</v>
      </c>
      <c r="B20" s="103">
        <f>SUM(B16)-SUM(B17)-SUM(B18:B19)*42</f>
        <v>1898.4</v>
      </c>
      <c r="C20" s="78"/>
      <c r="D20" s="93"/>
      <c r="E20" s="104"/>
      <c r="F20" s="78"/>
      <c r="G20" s="78"/>
      <c r="H20" s="78"/>
      <c r="I20" s="78"/>
    </row>
    <row r="21" spans="1:9" s="82" customFormat="1" ht="18.75" customHeight="1" x14ac:dyDescent="0.2">
      <c r="A21" s="78"/>
      <c r="B21" s="78"/>
      <c r="C21" s="78"/>
      <c r="D21" s="93"/>
      <c r="E21" s="78"/>
      <c r="F21" s="78"/>
      <c r="G21" s="78"/>
      <c r="H21" s="78"/>
      <c r="I21" s="78"/>
    </row>
    <row r="22" spans="1:9" s="82" customFormat="1" ht="18.75" customHeight="1" x14ac:dyDescent="0.2">
      <c r="A22" s="83" t="s">
        <v>73</v>
      </c>
      <c r="B22" s="84"/>
      <c r="C22" s="85"/>
      <c r="D22" s="93"/>
      <c r="E22" s="78"/>
      <c r="F22" s="78"/>
      <c r="G22" s="78"/>
      <c r="H22" s="78"/>
      <c r="I22" s="78"/>
    </row>
    <row r="23" spans="1:9" s="82" customFormat="1" ht="18.75" customHeight="1" x14ac:dyDescent="0.2">
      <c r="A23" s="105"/>
      <c r="B23" s="105"/>
      <c r="C23" s="78"/>
      <c r="D23" s="93"/>
      <c r="E23" s="78"/>
      <c r="F23" s="78"/>
      <c r="G23" s="78"/>
      <c r="H23" s="78"/>
      <c r="I23" s="78"/>
    </row>
    <row r="24" spans="1:9" s="82" customFormat="1" ht="18.75" customHeight="1" x14ac:dyDescent="0.2">
      <c r="A24" s="102"/>
      <c r="B24" s="106" t="s">
        <v>74</v>
      </c>
      <c r="C24" s="90" t="s">
        <v>75</v>
      </c>
      <c r="D24" s="93"/>
      <c r="E24" s="78"/>
      <c r="F24" s="78"/>
      <c r="G24" s="78"/>
      <c r="H24" s="78"/>
      <c r="I24" s="78"/>
    </row>
    <row r="25" spans="1:9" s="82" customFormat="1" ht="18.75" customHeight="1" x14ac:dyDescent="0.2">
      <c r="A25" s="90" t="s">
        <v>180</v>
      </c>
      <c r="B25" s="107">
        <f>IF(COUNTIFS(F4:F7,"&gt;0")=0,IFERROR(VLOOKUP(B4,Grundlagen!AE:AJ,2,0),0),IF(COUNTIFS(F4:F7,"&gt;0")=1,INDEX(E4:E7,IFERROR(MATCH(SUM(F4:F7),F4:F7,0),1)),IF(F4&gt;0,E4,IF(F5&gt;0,E5,IF(F6&gt;0,E6,IF(F7&gt;0,E7,E4))))))</f>
        <v>0</v>
      </c>
      <c r="C25" s="102"/>
      <c r="D25" s="93"/>
      <c r="E25" s="78"/>
      <c r="F25" s="78"/>
      <c r="G25" s="78"/>
      <c r="H25" s="78"/>
      <c r="I25" s="78"/>
    </row>
    <row r="26" spans="1:9" s="82" customFormat="1" ht="18.75" customHeight="1" x14ac:dyDescent="0.2">
      <c r="A26" s="108" t="s">
        <v>77</v>
      </c>
      <c r="B26" s="92"/>
      <c r="C26" s="109">
        <f>IFERROR(B26/B25,0)</f>
        <v>0</v>
      </c>
      <c r="D26" s="110" t="str">
        <f>IF(AND(F3&lt;&gt;"",ROUND(B26,2)&lt;&gt;ROUND(F3,2)),"Wert entspricht nicht dem Wert in Zelle F3","")</f>
        <v/>
      </c>
      <c r="E26" s="78"/>
      <c r="F26" s="78"/>
      <c r="G26" s="78"/>
      <c r="H26" s="78"/>
      <c r="I26" s="78"/>
    </row>
    <row r="27" spans="1:9" s="82" customFormat="1" ht="18.75" customHeight="1" x14ac:dyDescent="0.2">
      <c r="A27" s="111" t="s">
        <v>211</v>
      </c>
      <c r="B27" s="92"/>
      <c r="C27" s="109">
        <f>IFERROR(B27/B25,0)</f>
        <v>0</v>
      </c>
      <c r="D27" s="110" t="str">
        <f>IF(AND(G3&lt;&gt;"",B27&lt;&gt;G3),"Wert entspricht nicht dem Wert in Zelle g3","")</f>
        <v/>
      </c>
      <c r="E27" s="78"/>
      <c r="F27" s="78"/>
      <c r="G27" s="78"/>
      <c r="H27" s="78"/>
      <c r="I27" s="78"/>
    </row>
    <row r="28" spans="1:9" s="82" customFormat="1" ht="18.75" customHeight="1" x14ac:dyDescent="0.2">
      <c r="A28" s="172" t="s">
        <v>214</v>
      </c>
      <c r="B28" s="92"/>
      <c r="C28" s="109">
        <f>IFERROR(B28/B25,0)</f>
        <v>0</v>
      </c>
      <c r="D28" s="110" t="str">
        <f>IF(AND(H3&lt;&gt;"",B28&lt;&gt;H3),"Wert entspricht nicht dem Wert in Zelle H3","")</f>
        <v/>
      </c>
      <c r="E28" s="78"/>
      <c r="F28" s="78"/>
      <c r="G28" s="78"/>
      <c r="H28" s="78"/>
      <c r="I28" s="78"/>
    </row>
    <row r="29" spans="1:9" s="82" customFormat="1" ht="18.75" customHeight="1" x14ac:dyDescent="0.2">
      <c r="A29" s="112" t="s">
        <v>79</v>
      </c>
      <c r="B29" s="113">
        <f>IFERROR(B20/B25*B26,0)</f>
        <v>0</v>
      </c>
      <c r="C29" s="114">
        <f>IFERROR(B26/B25,0)</f>
        <v>0</v>
      </c>
      <c r="D29" s="93"/>
      <c r="E29" s="78"/>
      <c r="F29" s="78"/>
      <c r="G29" s="78"/>
      <c r="H29" s="271"/>
      <c r="I29" s="78"/>
    </row>
    <row r="30" spans="1:9" s="82" customFormat="1" ht="18.75" customHeight="1" x14ac:dyDescent="0.2">
      <c r="A30" s="108" t="s">
        <v>236</v>
      </c>
      <c r="B30" s="115">
        <f>+'Berechnungen BA'!D42</f>
        <v>0</v>
      </c>
      <c r="C30" s="116">
        <f>IF(B29=0,0,B30/$B$29)</f>
        <v>0</v>
      </c>
      <c r="D30" s="93"/>
      <c r="E30" s="78"/>
      <c r="F30" s="78"/>
      <c r="G30" s="78"/>
      <c r="H30" s="78"/>
      <c r="I30" s="78"/>
    </row>
    <row r="31" spans="1:9" s="82" customFormat="1" ht="18.75" customHeight="1" x14ac:dyDescent="0.2">
      <c r="A31" s="108" t="str">
        <f>"Davon Bereich C/D/E"</f>
        <v>Davon Bereich C/D/E</v>
      </c>
      <c r="B31" s="115">
        <f>+'Berechnungen BA'!E42</f>
        <v>0</v>
      </c>
      <c r="C31" s="116">
        <f>IF(B29=0,0,B31/$B$29)</f>
        <v>0</v>
      </c>
      <c r="D31" s="93"/>
      <c r="E31" s="78"/>
      <c r="F31" s="78"/>
      <c r="G31" s="117"/>
      <c r="H31" s="271"/>
      <c r="I31" s="78"/>
    </row>
    <row r="32" spans="1:9" s="82" customFormat="1" ht="18.75" customHeight="1" x14ac:dyDescent="0.2">
      <c r="A32" s="78"/>
      <c r="B32" s="78"/>
      <c r="C32" s="78"/>
      <c r="D32" s="93"/>
      <c r="E32" s="78"/>
      <c r="F32" s="78"/>
      <c r="G32" s="78"/>
      <c r="H32" s="78"/>
      <c r="I32" s="78"/>
    </row>
    <row r="33" spans="1:9" s="82" customFormat="1" ht="18.75" customHeight="1" x14ac:dyDescent="0.2">
      <c r="A33" s="118" t="s">
        <v>80</v>
      </c>
      <c r="B33" s="119"/>
      <c r="C33" s="119"/>
      <c r="D33" s="80"/>
      <c r="E33" s="78"/>
      <c r="F33" s="78"/>
      <c r="G33" s="78"/>
      <c r="H33" s="78"/>
      <c r="I33" s="78"/>
    </row>
    <row r="34" spans="1:9" s="82" customFormat="1" ht="18.75" customHeight="1" x14ac:dyDescent="0.2">
      <c r="A34" s="97"/>
      <c r="B34" s="120"/>
      <c r="C34" s="98"/>
      <c r="D34" s="93"/>
      <c r="E34" s="78"/>
      <c r="F34" s="78"/>
      <c r="G34" s="78"/>
      <c r="H34" s="78"/>
      <c r="I34" s="78"/>
    </row>
    <row r="35" spans="1:9" s="82" customFormat="1" ht="18.75" customHeight="1" x14ac:dyDescent="0.2">
      <c r="A35" s="121" t="s">
        <v>82</v>
      </c>
      <c r="B35" s="122" t="s">
        <v>83</v>
      </c>
      <c r="C35" s="123" t="s">
        <v>84</v>
      </c>
      <c r="D35" s="93" t="s">
        <v>85</v>
      </c>
      <c r="E35" s="78"/>
      <c r="F35" s="78"/>
      <c r="G35" s="78"/>
      <c r="H35" s="78"/>
      <c r="I35" s="78"/>
    </row>
    <row r="36" spans="1:9" s="82" customFormat="1" ht="18.75" customHeight="1" x14ac:dyDescent="0.2">
      <c r="A36" s="124" t="s">
        <v>92</v>
      </c>
      <c r="B36" s="125"/>
      <c r="C36" s="126" t="s">
        <v>93</v>
      </c>
      <c r="D36" s="127">
        <f>ROUND(B31-IF(C36="Stunden",B36,IF(C36="Jahreslektionen",B36*Jahreslektion)),1)</f>
        <v>0</v>
      </c>
      <c r="E36" s="78"/>
      <c r="F36" s="78"/>
      <c r="G36" s="78"/>
      <c r="H36" s="78"/>
      <c r="I36" s="78"/>
    </row>
    <row r="37" spans="1:9" s="82" customFormat="1" ht="18.75" customHeight="1" x14ac:dyDescent="0.2">
      <c r="A37" s="124" t="s">
        <v>92</v>
      </c>
      <c r="B37" s="125"/>
      <c r="C37" s="126" t="s">
        <v>93</v>
      </c>
      <c r="D37" s="127">
        <f t="shared" ref="D37:D44" si="0">ROUND(D36-IF(C37="Stunden",B37,IF(C37="Jahreslektionen",B37*Jahreslektion)),1)</f>
        <v>0</v>
      </c>
      <c r="E37" s="78"/>
      <c r="F37" s="78"/>
      <c r="G37" s="78"/>
      <c r="H37" s="78"/>
      <c r="I37" s="78"/>
    </row>
    <row r="38" spans="1:9" s="82" customFormat="1" ht="18.75" customHeight="1" x14ac:dyDescent="0.2">
      <c r="A38" s="124" t="s">
        <v>92</v>
      </c>
      <c r="B38" s="125"/>
      <c r="C38" s="126" t="s">
        <v>93</v>
      </c>
      <c r="D38" s="127">
        <f t="shared" si="0"/>
        <v>0</v>
      </c>
      <c r="E38" s="78"/>
      <c r="F38" s="78"/>
      <c r="G38" s="78"/>
      <c r="H38" s="78"/>
      <c r="I38" s="78"/>
    </row>
    <row r="39" spans="1:9" s="82" customFormat="1" ht="18.75" customHeight="1" x14ac:dyDescent="0.2">
      <c r="A39" s="124" t="s">
        <v>92</v>
      </c>
      <c r="B39" s="125"/>
      <c r="C39" s="126" t="s">
        <v>93</v>
      </c>
      <c r="D39" s="127">
        <f t="shared" si="0"/>
        <v>0</v>
      </c>
      <c r="E39" s="78"/>
      <c r="F39" s="78"/>
      <c r="G39" s="78"/>
      <c r="H39" s="78"/>
      <c r="I39" s="78"/>
    </row>
    <row r="40" spans="1:9" s="82" customFormat="1" ht="18.75" customHeight="1" x14ac:dyDescent="0.2">
      <c r="A40" s="124" t="s">
        <v>92</v>
      </c>
      <c r="B40" s="125"/>
      <c r="C40" s="126" t="s">
        <v>93</v>
      </c>
      <c r="D40" s="127">
        <f t="shared" si="0"/>
        <v>0</v>
      </c>
      <c r="E40" s="78"/>
      <c r="F40" s="78"/>
      <c r="G40" s="78"/>
      <c r="H40" s="78"/>
      <c r="I40" s="78"/>
    </row>
    <row r="41" spans="1:9" s="82" customFormat="1" ht="18.75" customHeight="1" x14ac:dyDescent="0.2">
      <c r="A41" s="124" t="s">
        <v>92</v>
      </c>
      <c r="B41" s="125"/>
      <c r="C41" s="126" t="s">
        <v>93</v>
      </c>
      <c r="D41" s="127">
        <f t="shared" si="0"/>
        <v>0</v>
      </c>
      <c r="E41" s="78"/>
      <c r="F41" s="78"/>
      <c r="G41" s="78"/>
      <c r="H41" s="78"/>
      <c r="I41" s="78"/>
    </row>
    <row r="42" spans="1:9" s="82" customFormat="1" ht="18.75" customHeight="1" x14ac:dyDescent="0.2">
      <c r="A42" s="124" t="s">
        <v>92</v>
      </c>
      <c r="B42" s="125"/>
      <c r="C42" s="126" t="s">
        <v>93</v>
      </c>
      <c r="D42" s="127">
        <f t="shared" si="0"/>
        <v>0</v>
      </c>
      <c r="E42" s="78"/>
      <c r="F42" s="78"/>
      <c r="G42" s="78"/>
      <c r="H42" s="78"/>
      <c r="I42" s="78"/>
    </row>
    <row r="43" spans="1:9" s="82" customFormat="1" ht="18.75" customHeight="1" x14ac:dyDescent="0.2">
      <c r="A43" s="124" t="s">
        <v>92</v>
      </c>
      <c r="B43" s="128"/>
      <c r="C43" s="126" t="s">
        <v>93</v>
      </c>
      <c r="D43" s="127">
        <f t="shared" si="0"/>
        <v>0</v>
      </c>
      <c r="E43" s="78"/>
      <c r="F43" s="78"/>
      <c r="G43" s="78"/>
      <c r="H43" s="78"/>
      <c r="I43" s="78"/>
    </row>
    <row r="44" spans="1:9" s="82" customFormat="1" ht="18.75" customHeight="1" x14ac:dyDescent="0.2">
      <c r="A44" s="124" t="s">
        <v>92</v>
      </c>
      <c r="B44" s="128"/>
      <c r="C44" s="126" t="s">
        <v>93</v>
      </c>
      <c r="D44" s="127">
        <f t="shared" si="0"/>
        <v>0</v>
      </c>
      <c r="E44" s="78"/>
      <c r="F44" s="78"/>
      <c r="G44" s="78"/>
      <c r="H44" s="78"/>
      <c r="I44" s="78"/>
    </row>
    <row r="45" spans="1:9" s="82" customFormat="1" ht="18.75" customHeight="1" x14ac:dyDescent="0.2">
      <c r="A45" s="124" t="s">
        <v>92</v>
      </c>
      <c r="B45" s="128"/>
      <c r="C45" s="126" t="s">
        <v>93</v>
      </c>
      <c r="D45" s="127">
        <f t="shared" ref="D45:D55" si="1">ROUND(D44-IF(C45="Stunden",B45,IF(C45="Jahreslektionen",B45*Jahreslektion)),1)</f>
        <v>0</v>
      </c>
      <c r="E45" s="78"/>
      <c r="F45" s="78"/>
      <c r="G45" s="78"/>
      <c r="H45" s="78"/>
      <c r="I45" s="78"/>
    </row>
    <row r="46" spans="1:9" s="82" customFormat="1" ht="18.75" customHeight="1" x14ac:dyDescent="0.2">
      <c r="A46" s="124" t="s">
        <v>92</v>
      </c>
      <c r="B46" s="128"/>
      <c r="C46" s="126" t="s">
        <v>93</v>
      </c>
      <c r="D46" s="127">
        <f t="shared" si="1"/>
        <v>0</v>
      </c>
      <c r="E46" s="78"/>
      <c r="F46" s="78"/>
      <c r="G46" s="78"/>
      <c r="H46" s="78"/>
      <c r="I46" s="78"/>
    </row>
    <row r="47" spans="1:9" s="82" customFormat="1" ht="18.75" customHeight="1" x14ac:dyDescent="0.2">
      <c r="A47" s="124" t="s">
        <v>92</v>
      </c>
      <c r="B47" s="128"/>
      <c r="C47" s="126" t="s">
        <v>93</v>
      </c>
      <c r="D47" s="127">
        <f t="shared" si="1"/>
        <v>0</v>
      </c>
      <c r="E47" s="78"/>
      <c r="F47" s="78"/>
      <c r="G47" s="78"/>
      <c r="H47" s="78"/>
      <c r="I47" s="78"/>
    </row>
    <row r="48" spans="1:9" s="82" customFormat="1" ht="18.75" customHeight="1" x14ac:dyDescent="0.2">
      <c r="A48" s="124" t="s">
        <v>92</v>
      </c>
      <c r="B48" s="128"/>
      <c r="C48" s="126" t="s">
        <v>93</v>
      </c>
      <c r="D48" s="127">
        <f t="shared" si="1"/>
        <v>0</v>
      </c>
      <c r="E48" s="78"/>
      <c r="F48" s="78"/>
      <c r="G48" s="78"/>
      <c r="H48" s="78"/>
      <c r="I48" s="78"/>
    </row>
    <row r="49" spans="1:9" s="82" customFormat="1" ht="18.75" customHeight="1" x14ac:dyDescent="0.2">
      <c r="A49" s="124" t="s">
        <v>92</v>
      </c>
      <c r="B49" s="128"/>
      <c r="C49" s="126" t="s">
        <v>93</v>
      </c>
      <c r="D49" s="127">
        <f t="shared" si="1"/>
        <v>0</v>
      </c>
      <c r="E49" s="78"/>
      <c r="F49" s="78"/>
      <c r="G49" s="78"/>
      <c r="H49" s="78"/>
      <c r="I49" s="78"/>
    </row>
    <row r="50" spans="1:9" s="82" customFormat="1" ht="18.75" customHeight="1" x14ac:dyDescent="0.2">
      <c r="A50" s="124" t="s">
        <v>92</v>
      </c>
      <c r="B50" s="128"/>
      <c r="C50" s="126" t="s">
        <v>93</v>
      </c>
      <c r="D50" s="127">
        <f t="shared" si="1"/>
        <v>0</v>
      </c>
      <c r="E50" s="78"/>
      <c r="F50" s="78"/>
      <c r="G50" s="78"/>
      <c r="H50" s="78"/>
      <c r="I50" s="78"/>
    </row>
    <row r="51" spans="1:9" s="82" customFormat="1" ht="18.75" customHeight="1" x14ac:dyDescent="0.2">
      <c r="A51" s="124" t="s">
        <v>92</v>
      </c>
      <c r="B51" s="128"/>
      <c r="C51" s="126" t="s">
        <v>93</v>
      </c>
      <c r="D51" s="127">
        <f t="shared" si="1"/>
        <v>0</v>
      </c>
      <c r="E51" s="78"/>
      <c r="F51" s="78"/>
      <c r="G51" s="78"/>
      <c r="H51" s="78"/>
      <c r="I51" s="78"/>
    </row>
    <row r="52" spans="1:9" s="82" customFormat="1" ht="18.75" customHeight="1" x14ac:dyDescent="0.2">
      <c r="A52" s="124" t="s">
        <v>92</v>
      </c>
      <c r="B52" s="128"/>
      <c r="C52" s="126" t="s">
        <v>93</v>
      </c>
      <c r="D52" s="127">
        <f t="shared" si="1"/>
        <v>0</v>
      </c>
      <c r="E52" s="78"/>
      <c r="F52" s="78"/>
      <c r="G52" s="78"/>
      <c r="H52" s="78"/>
      <c r="I52" s="78"/>
    </row>
    <row r="53" spans="1:9" s="82" customFormat="1" ht="18.75" customHeight="1" x14ac:dyDescent="0.2">
      <c r="A53" s="124" t="s">
        <v>92</v>
      </c>
      <c r="B53" s="128"/>
      <c r="C53" s="126" t="s">
        <v>93</v>
      </c>
      <c r="D53" s="127">
        <f t="shared" si="1"/>
        <v>0</v>
      </c>
      <c r="E53" s="78"/>
      <c r="F53" s="78"/>
      <c r="G53" s="78"/>
      <c r="H53" s="78"/>
      <c r="I53" s="78"/>
    </row>
    <row r="54" spans="1:9" s="82" customFormat="1" ht="18.75" customHeight="1" x14ac:dyDescent="0.2">
      <c r="A54" s="124" t="s">
        <v>92</v>
      </c>
      <c r="B54" s="128"/>
      <c r="C54" s="126" t="s">
        <v>93</v>
      </c>
      <c r="D54" s="127">
        <f t="shared" si="1"/>
        <v>0</v>
      </c>
      <c r="E54" s="78"/>
      <c r="F54" s="78"/>
      <c r="G54" s="78"/>
      <c r="H54" s="78"/>
      <c r="I54" s="78"/>
    </row>
    <row r="55" spans="1:9" s="82" customFormat="1" ht="18.75" customHeight="1" x14ac:dyDescent="0.2">
      <c r="A55" s="124" t="s">
        <v>92</v>
      </c>
      <c r="B55" s="128"/>
      <c r="C55" s="126" t="s">
        <v>93</v>
      </c>
      <c r="D55" s="127">
        <f t="shared" si="1"/>
        <v>0</v>
      </c>
      <c r="E55" s="78"/>
      <c r="F55" s="78"/>
      <c r="G55" s="78"/>
      <c r="H55" s="78"/>
      <c r="I55" s="78"/>
    </row>
    <row r="56" spans="1:9" s="82" customFormat="1" ht="18.75" customHeight="1" x14ac:dyDescent="0.2">
      <c r="A56" s="129" t="s">
        <v>94</v>
      </c>
      <c r="B56" s="130">
        <f t="array" ref="B56">SUMPRODUCT(B36:B55,IF(C36:C55="Stunden",1,IF(C36:C55="Jahreslektionen",Jahreslektion)))</f>
        <v>0</v>
      </c>
      <c r="C56" s="131" t="s">
        <v>86</v>
      </c>
      <c r="D56" s="127"/>
      <c r="E56" s="78"/>
      <c r="F56" s="78"/>
      <c r="G56" s="78"/>
      <c r="H56" s="78"/>
      <c r="I56" s="78"/>
    </row>
    <row r="57" spans="1:9" s="82" customFormat="1" ht="18.75" customHeight="1" x14ac:dyDescent="0.2">
      <c r="A57" s="99"/>
      <c r="B57" s="132"/>
      <c r="C57" s="132"/>
      <c r="D57" s="93"/>
      <c r="E57" s="78"/>
      <c r="F57" s="78"/>
      <c r="G57" s="78"/>
      <c r="H57" s="78"/>
      <c r="I57" s="78"/>
    </row>
    <row r="58" spans="1:9" s="82" customFormat="1" ht="18.75" customHeight="1" x14ac:dyDescent="0.2">
      <c r="A58" s="121" t="str">
        <f>"Bereich E: Weiterbildung  (im Mehrjahresdurchschn. mind. "&amp;TEXT(0.02*B29,"0.0")&amp;" Stunden)"</f>
        <v>Bereich E: Weiterbildung  (im Mehrjahresdurchschn. mind. 0.0 Stunden)</v>
      </c>
      <c r="B58" s="122"/>
      <c r="C58" s="133"/>
      <c r="D58" s="93"/>
      <c r="E58" s="78"/>
      <c r="F58" s="78"/>
      <c r="G58" s="78"/>
      <c r="H58" s="78"/>
      <c r="I58" s="78"/>
    </row>
    <row r="59" spans="1:9" s="82" customFormat="1" ht="18.75" customHeight="1" x14ac:dyDescent="0.2">
      <c r="A59" s="134" t="s">
        <v>103</v>
      </c>
      <c r="B59" s="128"/>
      <c r="C59" s="126" t="s">
        <v>93</v>
      </c>
      <c r="D59" s="127">
        <f>ROUND(D55-IF(C59="Stunden",B59,IF(C59="Jahreslektionen",B59*Jahreslektion)),1)</f>
        <v>0</v>
      </c>
      <c r="E59" s="78"/>
      <c r="F59" s="78"/>
      <c r="G59" s="78"/>
      <c r="H59" s="78"/>
      <c r="I59" s="78"/>
    </row>
    <row r="60" spans="1:9" s="82" customFormat="1" ht="18.75" customHeight="1" x14ac:dyDescent="0.2">
      <c r="A60" s="134" t="s">
        <v>103</v>
      </c>
      <c r="B60" s="128"/>
      <c r="C60" s="126" t="s">
        <v>93</v>
      </c>
      <c r="D60" s="127">
        <f>ROUND(D59-IF(C60="Stunden",B60,IF(C60="Jahreslektionen",B60*Jahreslektion)),1)</f>
        <v>0</v>
      </c>
      <c r="E60" s="78"/>
      <c r="F60" s="78"/>
      <c r="G60" s="78"/>
      <c r="H60" s="78"/>
      <c r="I60" s="78"/>
    </row>
    <row r="61" spans="1:9" s="82" customFormat="1" ht="18.75" customHeight="1" x14ac:dyDescent="0.2">
      <c r="A61" s="134" t="s">
        <v>103</v>
      </c>
      <c r="B61" s="128"/>
      <c r="C61" s="126" t="s">
        <v>93</v>
      </c>
      <c r="D61" s="127">
        <f>ROUND(D60-IF(C61="Stunden",B61,IF(C61="Jahreslektionen",B61*Jahreslektion)),1)</f>
        <v>0</v>
      </c>
      <c r="E61" s="78"/>
      <c r="F61" s="78"/>
      <c r="G61" s="78"/>
      <c r="H61" s="78"/>
      <c r="I61" s="78"/>
    </row>
    <row r="62" spans="1:9" s="82" customFormat="1" ht="18.75" customHeight="1" x14ac:dyDescent="0.2">
      <c r="A62" s="134" t="s">
        <v>103</v>
      </c>
      <c r="B62" s="128"/>
      <c r="C62" s="126" t="s">
        <v>93</v>
      </c>
      <c r="D62" s="127">
        <f>ROUND(D61-IF(C62="Stunden",B62,IF(C62="Jahreslektionen",B62*Jahreslektion)),1)</f>
        <v>0</v>
      </c>
      <c r="E62" s="78"/>
      <c r="F62" s="78"/>
      <c r="G62" s="78"/>
      <c r="H62" s="78"/>
      <c r="I62" s="78"/>
    </row>
    <row r="63" spans="1:9" s="82" customFormat="1" ht="18.75" customHeight="1" x14ac:dyDescent="0.2">
      <c r="A63" s="134" t="s">
        <v>103</v>
      </c>
      <c r="B63" s="128"/>
      <c r="C63" s="126" t="s">
        <v>93</v>
      </c>
      <c r="D63" s="127">
        <f>ROUND(D62-IF(C63="Stunden",B63,IF(C63="Jahreslektionen",B63*Jahreslektion)),1)</f>
        <v>0</v>
      </c>
      <c r="E63" s="78"/>
      <c r="F63" s="78"/>
      <c r="G63" s="78"/>
      <c r="H63" s="78"/>
      <c r="I63" s="78"/>
    </row>
    <row r="64" spans="1:9" s="82" customFormat="1" ht="18.75" customHeight="1" x14ac:dyDescent="0.2">
      <c r="A64" s="129" t="s">
        <v>95</v>
      </c>
      <c r="B64" s="130">
        <f t="array" ref="B64">SUMPRODUCT(B59:B63,IF(C59:C63="Stunden",1,IF(C59:C63="Jahreslektionen",Jahreslektion)))</f>
        <v>0</v>
      </c>
      <c r="C64" s="131" t="s">
        <v>86</v>
      </c>
      <c r="D64" s="135"/>
      <c r="E64" s="78"/>
      <c r="F64" s="78"/>
      <c r="G64" s="78"/>
      <c r="H64" s="78"/>
      <c r="I64" s="78"/>
    </row>
    <row r="65" spans="1:9" s="82" customFormat="1" ht="18.75" customHeight="1" x14ac:dyDescent="0.2">
      <c r="A65" s="99"/>
      <c r="B65" s="99"/>
      <c r="C65" s="136"/>
      <c r="D65" s="93"/>
      <c r="E65" s="78"/>
      <c r="F65" s="78"/>
      <c r="G65" s="78"/>
      <c r="H65" s="78"/>
      <c r="I65" s="78"/>
    </row>
    <row r="66" spans="1:9" s="140" customFormat="1" ht="18.75" customHeight="1" x14ac:dyDescent="0.2">
      <c r="A66" s="121" t="s">
        <v>96</v>
      </c>
      <c r="B66" s="137">
        <f>SUM(B56,B64)</f>
        <v>0</v>
      </c>
      <c r="C66" s="138">
        <f>IF(B29=0,0,B66/$B$29)</f>
        <v>0</v>
      </c>
      <c r="D66" s="139"/>
      <c r="E66" s="97"/>
      <c r="F66" s="97"/>
      <c r="G66" s="97"/>
      <c r="H66" s="97"/>
      <c r="I66" s="97"/>
    </row>
    <row r="67" spans="1:9" s="82" customFormat="1" ht="18.75" customHeight="1" x14ac:dyDescent="0.2">
      <c r="A67" s="78"/>
      <c r="B67" s="78"/>
      <c r="C67" s="78"/>
      <c r="D67" s="75"/>
      <c r="E67" s="78"/>
      <c r="F67" s="78"/>
      <c r="G67" s="78"/>
      <c r="H67" s="78"/>
      <c r="I67" s="78"/>
    </row>
    <row r="68" spans="1:9" s="140" customFormat="1" ht="18.75" customHeight="1" x14ac:dyDescent="0.2">
      <c r="A68" s="129" t="s">
        <v>184</v>
      </c>
      <c r="B68" s="125"/>
      <c r="C68" s="131" t="s">
        <v>86</v>
      </c>
      <c r="D68" s="139"/>
      <c r="E68" s="97"/>
      <c r="F68" s="97"/>
      <c r="G68" s="97"/>
      <c r="H68" s="97"/>
      <c r="I68" s="97"/>
    </row>
    <row r="69" spans="1:9" s="82" customFormat="1" ht="18.75" customHeight="1" x14ac:dyDescent="0.2">
      <c r="A69" s="78"/>
      <c r="B69" s="78"/>
      <c r="C69" s="78"/>
      <c r="D69" s="75"/>
      <c r="E69" s="78"/>
      <c r="F69" s="78"/>
      <c r="G69" s="78"/>
      <c r="H69" s="78"/>
      <c r="I69" s="78"/>
    </row>
    <row r="70" spans="1:9" s="82" customFormat="1" ht="18.75" customHeight="1" x14ac:dyDescent="0.2">
      <c r="A70" s="141" t="s">
        <v>97</v>
      </c>
      <c r="B70" s="142"/>
      <c r="C70" s="143"/>
      <c r="D70" s="75"/>
      <c r="E70" s="78"/>
      <c r="F70" s="78"/>
      <c r="G70" s="78"/>
      <c r="H70" s="78"/>
      <c r="I70" s="78"/>
    </row>
    <row r="71" spans="1:9" s="82" customFormat="1" ht="18.75" customHeight="1" x14ac:dyDescent="0.2">
      <c r="A71" s="110"/>
      <c r="B71" s="120"/>
      <c r="C71" s="98"/>
      <c r="D71" s="75"/>
      <c r="E71" s="78"/>
      <c r="F71" s="78"/>
      <c r="G71" s="78"/>
      <c r="H71" s="78"/>
      <c r="I71" s="78"/>
    </row>
    <row r="72" spans="1:9" s="82" customFormat="1" ht="18.75" customHeight="1" x14ac:dyDescent="0.2">
      <c r="A72" s="144" t="s">
        <v>98</v>
      </c>
      <c r="B72" s="145" t="s">
        <v>83</v>
      </c>
      <c r="C72" s="146" t="s">
        <v>84</v>
      </c>
      <c r="D72" s="75" t="s">
        <v>223</v>
      </c>
      <c r="E72" s="78"/>
      <c r="F72" s="78"/>
      <c r="G72" s="78"/>
      <c r="H72" s="78"/>
      <c r="I72" s="78"/>
    </row>
    <row r="73" spans="1:9" s="82" customFormat="1" ht="18.75" customHeight="1" x14ac:dyDescent="0.2">
      <c r="A73" s="168" t="s">
        <v>99</v>
      </c>
      <c r="B73" s="169">
        <f>+B27</f>
        <v>0</v>
      </c>
      <c r="C73" s="170" t="s">
        <v>100</v>
      </c>
      <c r="D73" s="127">
        <f>ROUND(IFERROR((SUM(B27:B28)*Jahreslektion_EA)-IF(C73="Stunden",B73,IF(C73="Jahreslektionen",B73*Jahreslektion_EA)),0),1)</f>
        <v>0</v>
      </c>
      <c r="E73" s="78"/>
      <c r="F73" s="78"/>
      <c r="G73" s="78"/>
      <c r="H73" s="78"/>
      <c r="I73" s="78"/>
    </row>
    <row r="74" spans="1:9" s="82" customFormat="1" ht="18.75" customHeight="1" x14ac:dyDescent="0.2">
      <c r="A74" s="134" t="s">
        <v>92</v>
      </c>
      <c r="B74" s="125"/>
      <c r="C74" s="126" t="s">
        <v>93</v>
      </c>
      <c r="D74" s="127">
        <f>ROUND(D73-IF(C74="Stunden",B74,IF(C74="Jahreslektionen",B74*Jahreslektion_EA)),1)</f>
        <v>0</v>
      </c>
      <c r="E74" s="78"/>
      <c r="F74" s="78"/>
      <c r="G74" s="78"/>
      <c r="H74" s="78"/>
      <c r="I74" s="78"/>
    </row>
    <row r="75" spans="1:9" s="82" customFormat="1" ht="18.75" customHeight="1" x14ac:dyDescent="0.2">
      <c r="A75" s="134" t="s">
        <v>92</v>
      </c>
      <c r="B75" s="125"/>
      <c r="C75" s="126" t="s">
        <v>93</v>
      </c>
      <c r="D75" s="127">
        <f>ROUND(D74-IF(C75="Stunden",B75,IF(C75="Jahreslektionen",B75*Jahreslektion_EA)),1)</f>
        <v>0</v>
      </c>
      <c r="E75" s="78"/>
      <c r="F75" s="78"/>
      <c r="G75" s="78"/>
      <c r="H75" s="78"/>
      <c r="I75" s="78"/>
    </row>
    <row r="76" spans="1:9" s="82" customFormat="1" ht="18.75" customHeight="1" x14ac:dyDescent="0.2">
      <c r="A76" s="134" t="s">
        <v>92</v>
      </c>
      <c r="B76" s="125"/>
      <c r="C76" s="126" t="s">
        <v>93</v>
      </c>
      <c r="D76" s="127">
        <f>ROUND(D75-IF(C76="Stunden",B76,IF(C76="Jahreslektionen",B76*Jahreslektion_EA)),1)</f>
        <v>0</v>
      </c>
      <c r="E76" s="78"/>
      <c r="F76" s="78"/>
      <c r="G76" s="78"/>
      <c r="H76" s="78"/>
      <c r="I76" s="78"/>
    </row>
    <row r="77" spans="1:9" s="82" customFormat="1" ht="18.75" customHeight="1" x14ac:dyDescent="0.2">
      <c r="A77" s="144" t="s">
        <v>101</v>
      </c>
      <c r="B77" s="147">
        <f t="array" ref="B77">IFERROR(SUMPRODUCT(B73:B76,IF(C73:C76="Stunden",1,IF(C73:C76="Jahreslektionen",Jahreslektion))),0)</f>
        <v>0</v>
      </c>
      <c r="C77" s="146" t="s">
        <v>86</v>
      </c>
      <c r="D77" s="75"/>
      <c r="E77" s="148"/>
      <c r="F77" s="78"/>
      <c r="G77" s="78"/>
      <c r="H77" s="78"/>
      <c r="I77" s="78"/>
    </row>
    <row r="78" spans="1:9" s="82" customFormat="1" ht="18.75" customHeight="1" x14ac:dyDescent="0.2">
      <c r="A78" s="78"/>
      <c r="B78" s="78"/>
      <c r="C78" s="78"/>
      <c r="D78" s="75"/>
      <c r="E78" s="78"/>
      <c r="F78" s="78"/>
      <c r="G78" s="78"/>
      <c r="H78" s="78"/>
      <c r="I78" s="78"/>
    </row>
    <row r="79" spans="1:9" s="82" customFormat="1" ht="18.75" customHeight="1" x14ac:dyDescent="0.2">
      <c r="A79" s="144" t="s">
        <v>102</v>
      </c>
      <c r="B79" s="145" t="s">
        <v>83</v>
      </c>
      <c r="C79" s="146" t="s">
        <v>84</v>
      </c>
      <c r="D79" s="75"/>
      <c r="E79" s="78"/>
      <c r="F79" s="78"/>
      <c r="G79" s="78"/>
      <c r="H79" s="78"/>
      <c r="I79" s="78"/>
    </row>
    <row r="80" spans="1:9" s="82" customFormat="1" ht="18.75" customHeight="1" x14ac:dyDescent="0.2">
      <c r="A80" s="134" t="s">
        <v>103</v>
      </c>
      <c r="B80" s="125"/>
      <c r="C80" s="126" t="s">
        <v>93</v>
      </c>
      <c r="D80" s="127">
        <f>ROUND(D76-IF(C80="Stunden",B80,IF(C80="Jahreslektionen",B80*Jahreslektion_EA)),1)</f>
        <v>0</v>
      </c>
      <c r="E80" s="78"/>
      <c r="F80" s="78"/>
      <c r="G80" s="78"/>
      <c r="H80" s="78"/>
      <c r="I80" s="78"/>
    </row>
    <row r="81" spans="1:9" s="82" customFormat="1" ht="18.75" customHeight="1" x14ac:dyDescent="0.2">
      <c r="A81" s="134" t="s">
        <v>103</v>
      </c>
      <c r="B81" s="125"/>
      <c r="C81" s="126" t="s">
        <v>93</v>
      </c>
      <c r="D81" s="127">
        <f>ROUND(D80-IF(C81="Stunden",B81,IF(C81="Jahreslektionen",B81*Jahreslektion_EA)),1)</f>
        <v>0</v>
      </c>
      <c r="E81" s="78"/>
      <c r="F81" s="78"/>
      <c r="G81" s="78"/>
      <c r="H81" s="78"/>
      <c r="I81" s="78"/>
    </row>
    <row r="82" spans="1:9" s="82" customFormat="1" ht="18.75" customHeight="1" x14ac:dyDescent="0.2">
      <c r="A82" s="144" t="s">
        <v>104</v>
      </c>
      <c r="B82" s="147">
        <f t="array" ref="B82">SUMPRODUCT(B80:B81,IF(C80:C81="Stunden",1,IF(C80:C81="Jahreslektionen",Jahreslektion)))</f>
        <v>0</v>
      </c>
      <c r="C82" s="146" t="s">
        <v>86</v>
      </c>
      <c r="D82" s="75"/>
      <c r="E82" s="78"/>
      <c r="F82" s="78"/>
      <c r="G82" s="78"/>
      <c r="H82" s="78"/>
      <c r="I82" s="78"/>
    </row>
    <row r="83" spans="1:9" s="82" customFormat="1" ht="18.75" customHeight="1" x14ac:dyDescent="0.2">
      <c r="A83" s="78"/>
      <c r="B83" s="78"/>
      <c r="C83" s="78"/>
      <c r="D83" s="75"/>
      <c r="E83" s="78"/>
      <c r="F83" s="78"/>
      <c r="G83" s="78"/>
      <c r="H83" s="78"/>
      <c r="I83" s="78"/>
    </row>
    <row r="84" spans="1:9" s="82" customFormat="1" ht="18.75" customHeight="1" x14ac:dyDescent="0.2">
      <c r="A84" s="78"/>
      <c r="B84" s="149" t="s">
        <v>86</v>
      </c>
      <c r="C84" s="149" t="s">
        <v>75</v>
      </c>
      <c r="D84" s="75"/>
      <c r="E84" s="78"/>
      <c r="F84" s="78"/>
      <c r="G84" s="78"/>
      <c r="H84" s="78"/>
      <c r="I84" s="78"/>
    </row>
    <row r="85" spans="1:9" s="82" customFormat="1" ht="18.75" customHeight="1" x14ac:dyDescent="0.2">
      <c r="A85" s="141" t="s">
        <v>105</v>
      </c>
      <c r="B85" s="150">
        <f>SUM(B82,B77)</f>
        <v>0</v>
      </c>
      <c r="C85" s="151">
        <f>IF(B20=0,0,B85/B20)</f>
        <v>0</v>
      </c>
      <c r="D85" s="152"/>
      <c r="E85" s="78"/>
      <c r="F85" s="78"/>
      <c r="G85" s="78"/>
      <c r="H85" s="78"/>
      <c r="I85" s="78"/>
    </row>
    <row r="86" spans="1:9" s="82" customFormat="1" ht="18.75" customHeight="1" x14ac:dyDescent="0.2">
      <c r="A86" s="178" t="str">
        <f>IF(AND($C$87&gt;1.0049999,SUM(B18:B19)&gt;0),"Pensum von 100% wird als überschritten ausgewiesen, da die unbezahlte Abwesenheit rechnerisch im EA1 und EA2 nicht berücksichtigt wird.",IF($C$87&gt;1.0049999,"Information: Anstellungsgrad von 100% überschritten.",""))</f>
        <v/>
      </c>
      <c r="B86" s="78"/>
      <c r="C86" s="153"/>
      <c r="D86" s="75"/>
      <c r="E86" s="78"/>
      <c r="F86" s="78"/>
      <c r="G86" s="78"/>
      <c r="H86" s="78"/>
      <c r="I86" s="78"/>
    </row>
    <row r="87" spans="1:9" s="82" customFormat="1" ht="18.75" customHeight="1" x14ac:dyDescent="0.2">
      <c r="A87" s="154" t="s">
        <v>106</v>
      </c>
      <c r="B87" s="155">
        <f>B85+B29</f>
        <v>0</v>
      </c>
      <c r="C87" s="156">
        <f>C29+C85</f>
        <v>0</v>
      </c>
      <c r="D87" s="152"/>
      <c r="E87" s="78"/>
      <c r="F87" s="78"/>
      <c r="G87" s="78"/>
      <c r="H87" s="78"/>
      <c r="I87" s="78"/>
    </row>
    <row r="88" spans="1:9" s="82" customFormat="1" ht="18.75" customHeight="1" x14ac:dyDescent="0.2">
      <c r="A88" s="96"/>
      <c r="B88" s="96"/>
      <c r="C88" s="96"/>
      <c r="D88" s="157"/>
      <c r="E88" s="78"/>
      <c r="F88" s="78"/>
      <c r="G88" s="78"/>
      <c r="H88" s="78"/>
      <c r="I88" s="78"/>
    </row>
    <row r="89" spans="1:9" s="82" customFormat="1" ht="18.75" customHeight="1" x14ac:dyDescent="0.2">
      <c r="A89" s="158" t="s">
        <v>81</v>
      </c>
      <c r="B89" s="159"/>
      <c r="C89" s="159"/>
      <c r="D89" s="75"/>
      <c r="E89" s="78"/>
      <c r="F89" s="78"/>
      <c r="G89" s="78"/>
      <c r="H89" s="78"/>
      <c r="I89" s="78"/>
    </row>
    <row r="90" spans="1:9" s="140" customFormat="1" ht="18.75" customHeight="1" x14ac:dyDescent="0.2">
      <c r="A90" s="160" t="s">
        <v>107</v>
      </c>
      <c r="B90" s="161"/>
      <c r="C90" s="161"/>
      <c r="D90" s="75"/>
      <c r="E90" s="97"/>
      <c r="F90" s="97"/>
      <c r="G90" s="97"/>
      <c r="H90" s="97"/>
      <c r="I90" s="97"/>
    </row>
    <row r="91" spans="1:9" s="82" customFormat="1" ht="18.75" customHeight="1" x14ac:dyDescent="0.2">
      <c r="A91" s="162" t="s">
        <v>108</v>
      </c>
      <c r="B91" s="163" t="s">
        <v>109</v>
      </c>
      <c r="C91" s="163"/>
      <c r="D91" s="75"/>
      <c r="E91" s="78"/>
      <c r="F91" s="78"/>
      <c r="G91" s="78"/>
      <c r="H91" s="78"/>
      <c r="I91" s="78"/>
    </row>
    <row r="92" spans="1:9" s="82" customFormat="1" ht="18.75" customHeight="1" x14ac:dyDescent="0.2">
      <c r="A92" s="78"/>
      <c r="B92" s="78"/>
      <c r="C92" s="78"/>
      <c r="D92" s="164"/>
    </row>
  </sheetData>
  <sheetProtection sheet="1" objects="1" scenarios="1"/>
  <mergeCells count="6">
    <mergeCell ref="B11:C11"/>
    <mergeCell ref="B4:C4"/>
    <mergeCell ref="B5:C5"/>
    <mergeCell ref="B6:C6"/>
    <mergeCell ref="B9:C9"/>
    <mergeCell ref="B10:C10"/>
  </mergeCells>
  <conditionalFormatting sqref="B11">
    <cfRule type="expression" dxfId="35" priority="79">
      <formula>$B$11=""</formula>
    </cfRule>
  </conditionalFormatting>
  <conditionalFormatting sqref="D36:D56">
    <cfRule type="expression" dxfId="34" priority="77">
      <formula>AND(D36&lt;-0.05,D36&lt;&gt;-16.8)</formula>
    </cfRule>
  </conditionalFormatting>
  <conditionalFormatting sqref="D64">
    <cfRule type="expression" dxfId="33" priority="76">
      <formula>D64&lt;0</formula>
    </cfRule>
  </conditionalFormatting>
  <conditionalFormatting sqref="D59:D63">
    <cfRule type="expression" dxfId="32" priority="74">
      <formula>AND(D59&lt;-0.05,D36&lt;&gt;-16.8)</formula>
    </cfRule>
  </conditionalFormatting>
  <conditionalFormatting sqref="D73">
    <cfRule type="expression" dxfId="31" priority="73">
      <formula>D73&lt;-0.05</formula>
    </cfRule>
  </conditionalFormatting>
  <conditionalFormatting sqref="D74:D76">
    <cfRule type="expression" dxfId="30" priority="72">
      <formula>D74&lt;-0.05</formula>
    </cfRule>
  </conditionalFormatting>
  <conditionalFormatting sqref="D80">
    <cfRule type="expression" dxfId="29" priority="70">
      <formula>D80&lt;-0.05</formula>
    </cfRule>
  </conditionalFormatting>
  <conditionalFormatting sqref="D81">
    <cfRule type="expression" dxfId="28" priority="69">
      <formula>D81&lt;-0.05</formula>
    </cfRule>
  </conditionalFormatting>
  <conditionalFormatting sqref="C87">
    <cfRule type="cellIs" dxfId="27" priority="58" operator="greaterThan">
      <formula>1.00499999</formula>
    </cfRule>
  </conditionalFormatting>
  <conditionalFormatting sqref="A59:A63">
    <cfRule type="expression" dxfId="26" priority="49">
      <formula>$A59="Bitte angeben"</formula>
    </cfRule>
  </conditionalFormatting>
  <conditionalFormatting sqref="A45">
    <cfRule type="expression" dxfId="25" priority="45">
      <formula>$A45="Mögliche Auswahl"</formula>
    </cfRule>
  </conditionalFormatting>
  <conditionalFormatting sqref="C41:C44">
    <cfRule type="expression" dxfId="24" priority="42">
      <formula>OR($A41="",$A41="Mögliche Auswahl",$A41="Bitte angeben")</formula>
    </cfRule>
  </conditionalFormatting>
  <conditionalFormatting sqref="C59:C63">
    <cfRule type="expression" dxfId="23" priority="41">
      <formula>OR($A59="",$A59="Mögliche Auswahl",$A59="Bitte angeben")</formula>
    </cfRule>
  </conditionalFormatting>
  <conditionalFormatting sqref="C73:C76">
    <cfRule type="expression" dxfId="22" priority="40">
      <formula>OR($A73="",$A73="Mögliche Auswahl",$A73="Bitte angeben")</formula>
    </cfRule>
  </conditionalFormatting>
  <conditionalFormatting sqref="C80:C81">
    <cfRule type="expression" dxfId="21" priority="39">
      <formula>OR($A80="",$A80="Mögliche Auswahl",$A80="Bitte angeben")</formula>
    </cfRule>
  </conditionalFormatting>
  <conditionalFormatting sqref="A80:A81">
    <cfRule type="expression" dxfId="20" priority="38">
      <formula>$A80="Bitte angeben"</formula>
    </cfRule>
  </conditionalFormatting>
  <conditionalFormatting sqref="A76">
    <cfRule type="expression" dxfId="19" priority="37">
      <formula>$A76="Mögliche Auswahl"</formula>
    </cfRule>
  </conditionalFormatting>
  <conditionalFormatting sqref="E3:G5 H3 E6:H7">
    <cfRule type="expression" dxfId="18" priority="34">
      <formula>AND($E3="",$E2="")</formula>
    </cfRule>
  </conditionalFormatting>
  <conditionalFormatting sqref="E4:G5 E6:H7">
    <cfRule type="expression" dxfId="17" priority="33">
      <formula>AND($E4="",$E3&lt;&gt;"")</formula>
    </cfRule>
  </conditionalFormatting>
  <conditionalFormatting sqref="F3:H3">
    <cfRule type="expression" dxfId="16" priority="31">
      <formula>AND($E3="",$E2&lt;&gt;"")</formula>
    </cfRule>
  </conditionalFormatting>
  <conditionalFormatting sqref="C37:C40">
    <cfRule type="expression" dxfId="15" priority="25">
      <formula>OR($A37="",$A37="Mögliche Auswahl",$A37="Bitte angeben")</formula>
    </cfRule>
  </conditionalFormatting>
  <conditionalFormatting sqref="A75">
    <cfRule type="expression" dxfId="14" priority="21">
      <formula>$A75="Mögliche Auswahl"</formula>
    </cfRule>
  </conditionalFormatting>
  <conditionalFormatting sqref="A37:A44">
    <cfRule type="expression" dxfId="13" priority="20">
      <formula>$A37="Mögliche Auswahl"</formula>
    </cfRule>
  </conditionalFormatting>
  <conditionalFormatting sqref="A73">
    <cfRule type="expression" dxfId="12" priority="19">
      <formula>$A73="Mögliche Auswahl"</formula>
    </cfRule>
  </conditionalFormatting>
  <conditionalFormatting sqref="B85">
    <cfRule type="expression" dxfId="11" priority="82">
      <formula>ABS($D$81)&gt;0.1</formula>
    </cfRule>
  </conditionalFormatting>
  <conditionalFormatting sqref="H4:H5">
    <cfRule type="expression" dxfId="10" priority="18">
      <formula>AND($E4="",$E3="")</formula>
    </cfRule>
  </conditionalFormatting>
  <conditionalFormatting sqref="H4:H5">
    <cfRule type="expression" dxfId="9" priority="17">
      <formula>AND($E4="",$E3&lt;&gt;"")</formula>
    </cfRule>
  </conditionalFormatting>
  <conditionalFormatting sqref="A74">
    <cfRule type="expression" dxfId="8" priority="13">
      <formula>$A74="Mögliche Auswahl"</formula>
    </cfRule>
  </conditionalFormatting>
  <conditionalFormatting sqref="A46:A55">
    <cfRule type="expression" dxfId="7" priority="9">
      <formula>$A46="Mögliche Auswahl"</formula>
    </cfRule>
  </conditionalFormatting>
  <conditionalFormatting sqref="C45:C55">
    <cfRule type="expression" dxfId="6" priority="7">
      <formula>OR($A45="",$A45="Mögliche Auswahl",$A45="Bitte angeben")</formula>
    </cfRule>
  </conditionalFormatting>
  <conditionalFormatting sqref="A86">
    <cfRule type="containsText" dxfId="5" priority="3" operator="containsText" text="Pensum von 100% wird als überschritten ausgewiesen, da die unbezahlte Abwesenheit rechnerisch im EA1 und EA2 nicht berücksichtigt wird.">
      <formula>NOT(ISERROR(SEARCH("Pensum von 100% wird als überschritten ausgewiesen, da die unbezahlte Abwesenheit rechnerisch im EA1 und EA2 nicht berücksichtigt wird.",A86)))</formula>
    </cfRule>
  </conditionalFormatting>
  <conditionalFormatting sqref="A36">
    <cfRule type="expression" dxfId="4" priority="2">
      <formula>$A36="Mögliche Auswahl"</formula>
    </cfRule>
  </conditionalFormatting>
  <conditionalFormatting sqref="C36">
    <cfRule type="expression" dxfId="3" priority="1">
      <formula>OR($A36="",$A36="Mögliche Auswahl",$A36="Bitte angeben")</formula>
    </cfRule>
  </conditionalFormatting>
  <dataValidations count="8">
    <dataValidation type="list" allowBlank="1" showInputMessage="1" showErrorMessage="1" sqref="B4:C4" xr:uid="{00000000-0002-0000-0300-000000000000}">
      <formula1>DD_Schulstufen</formula1>
    </dataValidation>
    <dataValidation allowBlank="1" showInputMessage="1" sqref="A80:A81 A59:A63" xr:uid="{00000000-0002-0000-0300-000001000000}"/>
    <dataValidation type="list" allowBlank="1" showInputMessage="1" sqref="A73" xr:uid="{00000000-0002-0000-0300-000002000000}">
      <formula1>IF(OR($B$4="Psychomotorik und Logopädie",$B$4="Musikschule"),"",IF($B$4="Berufsfachschulen und schulische Module Brückenangebote",EA1_SekII_BFS,IF($B$4="Primarschule",EA1_PS,IF($B$4="Sekundarschule",EA1_SekI,EA1_SekII))))</formula1>
    </dataValidation>
    <dataValidation type="list" allowBlank="1" showInputMessage="1" showErrorMessage="1" sqref="C74:C76 C80:C81 C59:C63 C36:C55" xr:uid="{00000000-0002-0000-0300-000003000000}">
      <formula1>"Stunden,Jahreslektionen"</formula1>
    </dataValidation>
    <dataValidation type="list" allowBlank="1" showInputMessage="1" sqref="A36:A55" xr:uid="{00000000-0002-0000-0300-000004000000}">
      <formula1>DD_Bereich_C</formula1>
    </dataValidation>
    <dataValidation type="date" operator="greaterThan" allowBlank="1" showInputMessage="1" showErrorMessage="1" sqref="B11:C11" xr:uid="{00000000-0002-0000-0300-000005000000}">
      <formula1>366</formula1>
    </dataValidation>
    <dataValidation type="list" allowBlank="1" showInputMessage="1" sqref="A74:A76" xr:uid="{00000000-0002-0000-0300-000006000000}">
      <formula1>IF($B$4="Psychomotorik und Logopädie","",IF($B$4="Berufsfachschulen und schulische Module Brückenangebote",EA1_SekII_BFS,IF($B$4="Primarschule",EA1_PS,IF($B$4="Kindergarten",EA1_KG,IF($B$4="Sekundarschule",EA1_SekI,EA1_SekII)))))</formula1>
    </dataValidation>
    <dataValidation type="decimal" allowBlank="1" showInputMessage="1" showErrorMessage="1" sqref="B26:B28" xr:uid="{00000000-0002-0000-0300-000007000000}">
      <formula1>0.001</formula1>
      <formula2>100</formula2>
    </dataValidation>
  </dataValidations>
  <pageMargins left="0.7" right="0.7" top="0.78740157499999996" bottom="0.78740157499999996" header="0.3" footer="0.3"/>
  <pageSetup paperSize="9" scale="66" orientation="portrait" r:id="rId1"/>
  <rowBreaks count="1" manualBreakCount="1">
    <brk id="32" max="16383" man="1"/>
  </rowBreaks>
  <customProperties>
    <customPr name="_pios_id" r:id="rId2"/>
  </customProperti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" id="{7AB7A86F-BA07-44E6-90B9-CF3B6E46F87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E2:E7 E2:G3 I2:I3 H3</xm:sqref>
        </x14:conditionalFormatting>
        <x14:conditionalFormatting xmlns:xm="http://schemas.microsoft.com/office/excel/2006/main">
          <x14:cfRule type="expression" priority="30" id="{7FA80C36-D6B7-43C9-8BDA-0AC705286A4A}">
            <xm:f>IFERROR(HLOOKUP($B$4,Dropdowns!$G$1:$I$1,1,0),TRUE)</xm:f>
            <x14:dxf>
              <font>
                <color theme="0"/>
              </font>
            </x14:dxf>
          </x14:cfRule>
          <xm:sqref>D26:D28</xm:sqref>
        </x14:conditionalFormatting>
        <x14:conditionalFormatting xmlns:xm="http://schemas.microsoft.com/office/excel/2006/main">
          <x14:cfRule type="expression" priority="14" id="{264F5F38-99DE-44F7-ABD7-50456BF69CF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8000000}">
          <x14:formula1>
            <xm:f>OFFSET(Dropdowns!$G$1,1,MATCH(B4,Dropdowns!$G$1:$I$1,0)-1,COUNT(OFFSET(Dropdowns!$G$1,1,MATCH(B4,Dropdowns!$G$1:$I$1,0)-1,4,1)),1)</xm:f>
          </x14:formula1>
          <xm:sqref>D4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1BA141C3839A489E33106E4EBCAB42" ma:contentTypeVersion="2" ma:contentTypeDescription="Ein neues Dokument erstellen." ma:contentTypeScope="" ma:versionID="0ca7b5c32761bd1a3e1688101a1d05eb">
  <xsd:schema xmlns:xsd="http://www.w3.org/2001/XMLSchema" xmlns:xs="http://www.w3.org/2001/XMLSchema" xmlns:p="http://schemas.microsoft.com/office/2006/metadata/properties" xmlns:ns2="051c46fa-c3eb-4280-9fec-0d53d9daabcd" targetNamespace="http://schemas.microsoft.com/office/2006/metadata/properties" ma:root="true" ma:fieldsID="d73f27199887834b22729cb93c429d40" ns2:_="">
    <xsd:import namespace="051c46fa-c3eb-4280-9fec-0d53d9daab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c46fa-c3eb-4280-9fec-0d53d9daabc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52DB66-D8C6-487B-B8CD-021B746CD87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051c46fa-c3eb-4280-9fec-0d53d9daabc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33ED07A-C6F3-4A8D-B636-F0669A34B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82FA88-AA48-40EF-8A74-DDAD57705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1c46fa-c3eb-4280-9fec-0d53d9daa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55</vt:i4>
      </vt:variant>
    </vt:vector>
  </HeadingPairs>
  <TitlesOfParts>
    <vt:vector size="56" baseType="lpstr">
      <vt:lpstr>Aufgabenplanung</vt:lpstr>
      <vt:lpstr>BA_CDE1</vt:lpstr>
      <vt:lpstr>BA_CDE10</vt:lpstr>
      <vt:lpstr>BA_CDE11</vt:lpstr>
      <vt:lpstr>BA_CDE12</vt:lpstr>
      <vt:lpstr>BA_CDE13</vt:lpstr>
      <vt:lpstr>BA_CDE14</vt:lpstr>
      <vt:lpstr>BA_CDE15</vt:lpstr>
      <vt:lpstr>BA_CDE2</vt:lpstr>
      <vt:lpstr>BA_CDE3</vt:lpstr>
      <vt:lpstr>BA_CDE4</vt:lpstr>
      <vt:lpstr>BA_CDE5</vt:lpstr>
      <vt:lpstr>BA_CDE6</vt:lpstr>
      <vt:lpstr>BA_CDE7</vt:lpstr>
      <vt:lpstr>BA_CDE8</vt:lpstr>
      <vt:lpstr>BA_CDE9</vt:lpstr>
      <vt:lpstr>BA_EA1</vt:lpstr>
      <vt:lpstr>BA_EA2</vt:lpstr>
      <vt:lpstr>BA_EA3</vt:lpstr>
      <vt:lpstr>BA_EA4</vt:lpstr>
      <vt:lpstr>BA_EA5</vt:lpstr>
      <vt:lpstr>BA_EA6</vt:lpstr>
      <vt:lpstr>Data_Feiertage</vt:lpstr>
      <vt:lpstr>Data_Feiertage_halb</vt:lpstr>
      <vt:lpstr>Data_Schulferien</vt:lpstr>
      <vt:lpstr>DD_Bereich_C</vt:lpstr>
      <vt:lpstr>DD_Bereich_C_MS</vt:lpstr>
      <vt:lpstr>DD_Schulstufen</vt:lpstr>
      <vt:lpstr>Aufgabenplanung!Druckbereich</vt:lpstr>
      <vt:lpstr>EA1_Gym</vt:lpstr>
      <vt:lpstr>EA1_KG</vt:lpstr>
      <vt:lpstr>EA1_PS</vt:lpstr>
      <vt:lpstr>EA1_SekI</vt:lpstr>
      <vt:lpstr>EA1_SekII</vt:lpstr>
      <vt:lpstr>EA1_SekII_BFS</vt:lpstr>
      <vt:lpstr>FH</vt:lpstr>
      <vt:lpstr>FT</vt:lpstr>
      <vt:lpstr>Jahreslektion</vt:lpstr>
      <vt:lpstr>Jahreslektion_EA</vt:lpstr>
      <vt:lpstr>NR</vt:lpstr>
      <vt:lpstr>Param1</vt:lpstr>
      <vt:lpstr>Param10</vt:lpstr>
      <vt:lpstr>Param2</vt:lpstr>
      <vt:lpstr>Param3</vt:lpstr>
      <vt:lpstr>Param4</vt:lpstr>
      <vt:lpstr>Param5</vt:lpstr>
      <vt:lpstr>Param6</vt:lpstr>
      <vt:lpstr>Param7</vt:lpstr>
      <vt:lpstr>Param8</vt:lpstr>
      <vt:lpstr>Param9</vt:lpstr>
      <vt:lpstr>Schuljahr</vt:lpstr>
      <vt:lpstr>Schuljahre</vt:lpstr>
      <vt:lpstr>SF</vt:lpstr>
      <vt:lpstr>Soll_Arbeitszeit_23_24</vt:lpstr>
      <vt:lpstr>UU</vt:lpstr>
      <vt:lpstr>WE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Office-Anwender</dc:creator>
  <cp:keywords/>
  <dc:description/>
  <cp:lastModifiedBy>Schiegg, Michael (AVS)</cp:lastModifiedBy>
  <cp:revision/>
  <dcterms:created xsi:type="dcterms:W3CDTF">2017-09-28T13:10:34Z</dcterms:created>
  <dcterms:modified xsi:type="dcterms:W3CDTF">2026-05-01T16:16:21Z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0x010100551BA141C3839A489E33106E4EBCAB42</vt:lpwstr>
  </property>
  <property fmtid="{D5CDD505-2E9C-101B-9397-08002B2CF9AE}" pid="3" name="CustomUiType">
    <vt:lpwstr>2</vt:lpwstr>
  </property>
</Properties>
</file>