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ate1904="1" codeName="DieseArbeitsmappe"/>
  <mc:AlternateContent xmlns:mc="http://schemas.openxmlformats.org/markup-compatibility/2006">
    <mc:Choice Requires="x15">
      <x15ac:absPath xmlns:x15ac="http://schemas.microsoft.com/office/spreadsheetml/2010/11/ac" url="R:\avs_neu\02 DL-öffentlich\08 Projekte-KB\Berufsauftrag\TP3_Instrumente\Instrumente\Instrumente 25_26\"/>
    </mc:Choice>
  </mc:AlternateContent>
  <xr:revisionPtr revIDLastSave="0" documentId="13_ncr:1_{7C409CE3-0748-4910-AC23-3B2DF8DE275E}" xr6:coauthVersionLast="47" xr6:coauthVersionMax="47" xr10:uidLastSave="{00000000-0000-0000-0000-000000000000}"/>
  <bookViews>
    <workbookView xWindow="28680" yWindow="-120" windowWidth="29040" windowHeight="16440" tabRatio="851" firstSheet="3" activeTab="3" xr2:uid="{00000000-000D-0000-FFFF-FFFF00000000}"/>
  </bookViews>
  <sheets>
    <sheet name="Dropdowns" sheetId="649" state="veryHidden" r:id="rId1"/>
    <sheet name="Grundlagen" sheetId="650" state="veryHidden" r:id="rId2"/>
    <sheet name="Berechnungen BA" sheetId="648" state="veryHidden" r:id="rId3"/>
    <sheet name="Aufgabenplanung" sheetId="647" r:id="rId4"/>
  </sheets>
  <definedNames>
    <definedName name="AA_Heutiges_Datum">OFFSET(#REF!,MATCH(TODAY(),#REF!,0),0,1,1)</definedName>
    <definedName name="AA_Heutiges_Datum_2">#REF!</definedName>
    <definedName name="AproLektion">#REF!</definedName>
    <definedName name="BA_CDE1">Aufgabenplanung!$A$36</definedName>
    <definedName name="BA_CDE10">Aufgabenplanung!$A$45</definedName>
    <definedName name="BA_CDE11">Aufgabenplanung!$A$59</definedName>
    <definedName name="BA_CDE12">Aufgabenplanung!$A$60</definedName>
    <definedName name="BA_CDE13">Aufgabenplanung!$A$61</definedName>
    <definedName name="BA_CDE14">Aufgabenplanung!$A$62</definedName>
    <definedName name="BA_CDE15">Aufgabenplanung!$A$63</definedName>
    <definedName name="BA_CDE2">Aufgabenplanung!$A$37</definedName>
    <definedName name="BA_CDE3">Aufgabenplanung!$A$38</definedName>
    <definedName name="BA_CDE4">Aufgabenplanung!$A$39</definedName>
    <definedName name="BA_CDE5">Aufgabenplanung!$A$40</definedName>
    <definedName name="BA_CDE6">Aufgabenplanung!$A$41</definedName>
    <definedName name="BA_CDE7">Aufgabenplanung!$A$42</definedName>
    <definedName name="BA_CDE8">Aufgabenplanung!$A$43</definedName>
    <definedName name="BA_CDE9">Aufgabenplanung!$A$44</definedName>
    <definedName name="BA_EA1">Aufgabenplanung!$A$73</definedName>
    <definedName name="BA_EA2">Aufgabenplanung!$A$74</definedName>
    <definedName name="BA_EA3">Aufgabenplanung!$A$75</definedName>
    <definedName name="BA_EA4">Aufgabenplanung!$A$76</definedName>
    <definedName name="BA_EA5">Aufgabenplanung!$A$80</definedName>
    <definedName name="BA_EA6">Aufgabenplanung!$A$81</definedName>
    <definedName name="BproLektion">#REF!</definedName>
    <definedName name="CDEZeit">#REF!</definedName>
    <definedName name="Data_Feiertage">Grundlagen!$T:$T</definedName>
    <definedName name="Data_Feiertage_halb">Grundlagen!$X:$X</definedName>
    <definedName name="Data_Schulferien">Grundlagen!$Q:$Q</definedName>
    <definedName name="DD_Bereich_C">Dropdowns!$A$2:$A$12</definedName>
    <definedName name="DD_Bereich_C_MS">Dropdowns!$B$2:$B$12</definedName>
    <definedName name="DD_Schulstufen">Dropdowns!$J$2:$J$8</definedName>
    <definedName name="_xlnm.Print_Area" localSheetId="3">Aufgabenplanung!$A$1:$C$91</definedName>
    <definedName name="EA1_Gym">Dropdowns!$E$2:$E$6</definedName>
    <definedName name="EA1_KG">Dropdowns!$L$2:$L$5</definedName>
    <definedName name="EA1_PS">Dropdowns!$C$2:$C$6</definedName>
    <definedName name="EA1_SekI">Dropdowns!$D$2:$D$8</definedName>
    <definedName name="EA1_SekII">Dropdowns!$E$2:$E$4</definedName>
    <definedName name="EA1_SekII_BFS">Dropdowns!$F$2:$F$5</definedName>
    <definedName name="F1_start">#REF!</definedName>
    <definedName name="F1_stop">#REF!</definedName>
    <definedName name="F2_start">#REF!</definedName>
    <definedName name="F2_stop">#REF!</definedName>
    <definedName name="F3_start">#REF!</definedName>
    <definedName name="F3_stop">#REF!</definedName>
    <definedName name="F4_start">#REF!</definedName>
    <definedName name="F4_stop">#REF!</definedName>
    <definedName name="F5_start">#REF!</definedName>
    <definedName name="F5_stop">#REF!</definedName>
    <definedName name="Feiertage">#REF!</definedName>
    <definedName name="FeiertageHalb">#REF!</definedName>
    <definedName name="FH">Grundlagen!$AR$4:$AR$10</definedName>
    <definedName name="FT">Grundlagen!$AQ$4:$AQ$4</definedName>
    <definedName name="Geburtstag">#REF!</definedName>
    <definedName name="Jahr">#REF!</definedName>
    <definedName name="Jahreslektion">'Berechnungen BA'!$B$23</definedName>
    <definedName name="Jahreslektion_EA">'Berechnungen BA'!$B$24</definedName>
    <definedName name="KorrLekt">#REF!</definedName>
    <definedName name="KorrLektAnz">#REF!</definedName>
    <definedName name="KorrUW">#REF!</definedName>
    <definedName name="manu_auto">IF(COUNTIFS(#REF!,"automatisch")=2,Dropdowns!$K$2,Dropdowns!$K$2:$K$3)</definedName>
    <definedName name="Monate">#REF!</definedName>
    <definedName name="Nachname">#REF!</definedName>
    <definedName name="NR">Grundlagen!$AO$4:$AO$8</definedName>
    <definedName name="Param1">Grundlagen!$AM$3</definedName>
    <definedName name="Param10">Grundlagen!$AM$12</definedName>
    <definedName name="Param2">Grundlagen!$AM$4</definedName>
    <definedName name="Param3">Grundlagen!$AM$5</definedName>
    <definedName name="Param4">Grundlagen!$AM$6</definedName>
    <definedName name="Param5">Grundlagen!$AM$7</definedName>
    <definedName name="Param6">Grundlagen!$AM$8</definedName>
    <definedName name="Param7">Grundlagen!$AM$9</definedName>
    <definedName name="Param8">Grundlagen!$AM$10</definedName>
    <definedName name="Param9">Grundlagen!$AM$11</definedName>
    <definedName name="Pensum">#REF!</definedName>
    <definedName name="Schuljahr">Grundlagen!$B$2</definedName>
    <definedName name="Schuljahre">Grundlagen!$B$2:$B$4</definedName>
    <definedName name="Sem1_start">#REF!</definedName>
    <definedName name="Sem1_stop">#REF!</definedName>
    <definedName name="Sem2_start">#REF!</definedName>
    <definedName name="Sem2_stop">#REF!</definedName>
    <definedName name="Sem2_wt2">#REF!</definedName>
    <definedName name="Sem2_wt3">#REF!</definedName>
    <definedName name="Sem2_wt4">#REF!</definedName>
    <definedName name="Sem2_wt5">#REF!</definedName>
    <definedName name="Sem2_wt6">#REF!</definedName>
    <definedName name="SF">Grundlagen!$AS$4:$AS$8</definedName>
    <definedName name="Soll_Arbeitszeit_23_24">Grundlagen!$N$1:$O$13</definedName>
    <definedName name="SollJAZ">#REF!</definedName>
    <definedName name="SollJAZCalc">#REF!</definedName>
    <definedName name="Stufe1">#REF!</definedName>
    <definedName name="Stufe2">#REF!</definedName>
    <definedName name="Stufe3">#REF!</definedName>
    <definedName name="Stufe4">#REF!</definedName>
    <definedName name="Stufe5">#REF!</definedName>
    <definedName name="Stufe6">#REF!</definedName>
    <definedName name="Stufe7">#REF!</definedName>
    <definedName name="Stufe8">#REF!</definedName>
    <definedName name="U_start">#REF!</definedName>
    <definedName name="U_stop">#REF!</definedName>
    <definedName name="Ueb_CDE1">#REF!</definedName>
    <definedName name="Ueb_CDE10">#REF!</definedName>
    <definedName name="Ueb_CDE11">#REF!</definedName>
    <definedName name="Ueb_CDE12">#REF!</definedName>
    <definedName name="Ueb_CDE13">#REF!</definedName>
    <definedName name="Ueb_CDE14">#REF!</definedName>
    <definedName name="Ueb_CDE15">#REF!</definedName>
    <definedName name="Ueb_CDE2">#REF!</definedName>
    <definedName name="Ueb_CDE3">#REF!</definedName>
    <definedName name="Ueb_CDE4">#REF!</definedName>
    <definedName name="Ueb_CDE5">#REF!</definedName>
    <definedName name="Ueb_CDE6">#REF!</definedName>
    <definedName name="Ueb_CDE7">#REF!</definedName>
    <definedName name="Ueb_CDE8">#REF!</definedName>
    <definedName name="Ueb_CDE9">#REF!</definedName>
    <definedName name="Ueb_EA1">#REF!</definedName>
    <definedName name="Ueb_EA2">#REF!</definedName>
    <definedName name="Ueb_EA3">#REF!</definedName>
    <definedName name="Ueb_EA4">#REF!</definedName>
    <definedName name="Ueb_EA5">#REF!</definedName>
    <definedName name="Ueb_EA6">#REF!</definedName>
    <definedName name="Unterrichtsfrei">#REF!</definedName>
    <definedName name="UTageSem1">#REF!</definedName>
    <definedName name="UU">Grundlagen!$AT$4</definedName>
    <definedName name="UU1_start">#REF!</definedName>
    <definedName name="UU1_stop">#REF!</definedName>
    <definedName name="UU2_start">#REF!</definedName>
    <definedName name="UU2_stop">#REF!</definedName>
    <definedName name="UU3_start">#REF!</definedName>
    <definedName name="UU3_stop">#REF!</definedName>
    <definedName name="VE_B">#REF!</definedName>
    <definedName name="VE_CDE">#REF!</definedName>
    <definedName name="VE_EA">#REF!</definedName>
    <definedName name="Vorname">#REF!</definedName>
    <definedName name="Vorsaldo">#REF!</definedName>
    <definedName name="VorsaldoFerien">#REF!</definedName>
    <definedName name="WE">Grundlagen!$AP$4:$AP$4</definedName>
    <definedName name="ZE_Auswahl_Monat">#REF!</definedName>
    <definedName name="ZE_B_auto">#REF!</definedName>
    <definedName name="ZE_B_manu">#REF!</definedName>
    <definedName name="ZE_CDE1">#REF!</definedName>
    <definedName name="ZE_CDE10">#REF!</definedName>
    <definedName name="ZE_CDE11">#REF!</definedName>
    <definedName name="ZE_CDE12">#REF!</definedName>
    <definedName name="ZE_CDE13">#REF!</definedName>
    <definedName name="ZE_CDE14">#REF!</definedName>
    <definedName name="ZE_CDE15">#REF!</definedName>
    <definedName name="ZE_CDE2">#REF!</definedName>
    <definedName name="ZE_CDE3">#REF!</definedName>
    <definedName name="ZE_CDE4">#REF!</definedName>
    <definedName name="ZE_CDE5">#REF!</definedName>
    <definedName name="ZE_CDE6">#REF!</definedName>
    <definedName name="ZE_CDE7">#REF!</definedName>
    <definedName name="ZE_CDE8">#REF!</definedName>
    <definedName name="ZE_CDE9">#REF!</definedName>
    <definedName name="ZE_EA1">#REF!</definedName>
    <definedName name="ZE_EA2">#REF!</definedName>
    <definedName name="ZE_EA3">#REF!</definedName>
    <definedName name="ZE_EA4">#REF!</definedName>
    <definedName name="ZE_EA5">#REF!</definedName>
    <definedName name="ZE_EA6">#REF!</definedName>
    <definedName name="Zu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5" i="648" l="1"/>
  <c r="B6" i="647"/>
  <c r="B14" i="647" l="1"/>
  <c r="B17" i="647"/>
  <c r="B73" i="647"/>
  <c r="B11" i="648"/>
  <c r="J27" i="648" l="1"/>
  <c r="B10" i="648"/>
  <c r="E4" i="647" l="1"/>
  <c r="B25" i="647" s="1"/>
  <c r="C27" i="647" l="1"/>
  <c r="C28" i="647"/>
  <c r="E7" i="647"/>
  <c r="E6" i="647"/>
  <c r="E5" i="647"/>
  <c r="F3" i="647" l="1" a="1"/>
  <c r="F3" i="647" s="1"/>
  <c r="D26" i="647" s="1"/>
  <c r="H3" i="647" a="1"/>
  <c r="H3" i="647" s="1"/>
  <c r="D28" i="647" s="1"/>
  <c r="G3" i="647" a="1"/>
  <c r="G3" i="647" s="1"/>
  <c r="D27" i="647" s="1"/>
  <c r="B9" i="648"/>
  <c r="A31" i="647" l="1"/>
  <c r="B15" i="647"/>
  <c r="B3" i="648"/>
  <c r="B2" i="648"/>
  <c r="B7" i="648" l="1"/>
  <c r="A17" i="647"/>
  <c r="F9" i="648"/>
  <c r="E9" i="648"/>
  <c r="D9" i="648"/>
  <c r="C9" i="648"/>
  <c r="C11" i="648" s="1"/>
  <c r="C26" i="647"/>
  <c r="B16" i="647"/>
  <c r="C29" i="647"/>
  <c r="B16" i="648" l="1"/>
  <c r="A31" i="648"/>
  <c r="D11" i="648"/>
  <c r="A32" i="648"/>
  <c r="E11" i="648"/>
  <c r="A33" i="648"/>
  <c r="F11" i="648"/>
  <c r="A30" i="648"/>
  <c r="B14" i="648"/>
  <c r="B12" i="648"/>
  <c r="C10" i="648"/>
  <c r="D10" i="648"/>
  <c r="F10" i="648"/>
  <c r="G33" i="648" s="1"/>
  <c r="E10" i="648"/>
  <c r="G32" i="648" s="1"/>
  <c r="B20" i="647"/>
  <c r="B29" i="647" s="1"/>
  <c r="B4" i="648"/>
  <c r="B24" i="648" s="1"/>
  <c r="D73" i="647" s="1"/>
  <c r="D74" i="647" s="1"/>
  <c r="D75" i="647" s="1"/>
  <c r="D76" i="647" s="1"/>
  <c r="D80" i="647" s="1"/>
  <c r="D81" i="647" s="1"/>
  <c r="B13" i="648" l="1"/>
  <c r="A42" i="648"/>
  <c r="B23" i="648"/>
  <c r="B56" i="647" s="1" a="1"/>
  <c r="B56" i="647" s="1"/>
  <c r="G31" i="648"/>
  <c r="C16" i="648"/>
  <c r="B8" i="648"/>
  <c r="C20" i="648" s="1"/>
  <c r="C12" i="648"/>
  <c r="C13" i="648" s="1"/>
  <c r="G30" i="648"/>
  <c r="G27" i="648"/>
  <c r="G29" i="648"/>
  <c r="G28" i="648"/>
  <c r="F12" i="648"/>
  <c r="F13" i="648" s="1"/>
  <c r="F16" i="648"/>
  <c r="E12" i="648"/>
  <c r="E13" i="648" s="1"/>
  <c r="E16" i="648"/>
  <c r="D12" i="648"/>
  <c r="D13" i="648" s="1"/>
  <c r="D16" i="648"/>
  <c r="C14" i="648"/>
  <c r="B30" i="648" s="1"/>
  <c r="C30" i="648" s="1"/>
  <c r="B15" i="648"/>
  <c r="B17" i="648" s="1"/>
  <c r="F14" i="648"/>
  <c r="E14" i="648"/>
  <c r="B32" i="648" s="1"/>
  <c r="C32" i="648" s="1"/>
  <c r="D14" i="648"/>
  <c r="B31" i="648" s="1"/>
  <c r="C31" i="648" s="1"/>
  <c r="C18" i="648" l="1"/>
  <c r="C19" i="648" s="1"/>
  <c r="D18" i="648"/>
  <c r="D19" i="648" s="1"/>
  <c r="F15" i="648"/>
  <c r="F17" i="648" s="1"/>
  <c r="B33" i="648"/>
  <c r="C33" i="648" s="1"/>
  <c r="B27" i="648"/>
  <c r="C27" i="648" s="1"/>
  <c r="C42" i="648" s="1"/>
  <c r="E20" i="648"/>
  <c r="F20" i="648"/>
  <c r="F21" i="648" s="1"/>
  <c r="D20" i="648"/>
  <c r="D21" i="648" s="1"/>
  <c r="C21" i="648"/>
  <c r="C15" i="648"/>
  <c r="C17" i="648" s="1"/>
  <c r="B18" i="648"/>
  <c r="B19" i="648" s="1"/>
  <c r="F18" i="648"/>
  <c r="F19" i="648" s="1"/>
  <c r="E18" i="648"/>
  <c r="E19" i="648" s="1"/>
  <c r="E15" i="648"/>
  <c r="E17" i="648" s="1"/>
  <c r="D15" i="648"/>
  <c r="D17" i="648" s="1"/>
  <c r="B64" i="647" a="1"/>
  <c r="B64" i="647" s="1"/>
  <c r="A58" i="647"/>
  <c r="B77" i="647" a="1"/>
  <c r="B77" i="647" s="1"/>
  <c r="B82" i="647" a="1"/>
  <c r="B82" i="647" s="1"/>
  <c r="B29" i="648" l="1"/>
  <c r="B66" i="647"/>
  <c r="C66" i="647" s="1"/>
  <c r="C36" i="648"/>
  <c r="E21" i="648"/>
  <c r="D27" i="648"/>
  <c r="I27" i="648" s="1"/>
  <c r="B28" i="648"/>
  <c r="B85" i="647"/>
  <c r="B87" i="647" s="1"/>
  <c r="B36" i="648" l="1"/>
  <c r="C29" i="648"/>
  <c r="E42" i="648" s="1"/>
  <c r="C28" i="648"/>
  <c r="C85" i="647"/>
  <c r="C87" i="647" l="1"/>
  <c r="A86" i="647" s="1"/>
  <c r="D42" i="648"/>
  <c r="D43" i="648" s="1"/>
  <c r="B30" i="647"/>
  <c r="C30" i="647" s="1"/>
  <c r="F28" i="648"/>
  <c r="F27" i="648"/>
  <c r="F33" i="648"/>
  <c r="F30" i="648"/>
  <c r="F29" i="648"/>
  <c r="F32" i="648"/>
  <c r="F31" i="648"/>
  <c r="E43" i="648" l="1"/>
  <c r="C43" i="648"/>
  <c r="B31" i="647"/>
  <c r="D36" i="647" l="1"/>
  <c r="D37" i="647" s="1"/>
  <c r="D38" i="647" s="1"/>
  <c r="D39" i="647" s="1"/>
  <c r="D40" i="647" s="1"/>
  <c r="D41" i="647" s="1"/>
  <c r="D42" i="647" s="1"/>
  <c r="D43" i="647" s="1"/>
  <c r="D44" i="647" s="1"/>
  <c r="D45" i="647" s="1"/>
  <c r="D46" i="647" s="1"/>
  <c r="D47" i="647" s="1"/>
  <c r="D48" i="647" s="1"/>
  <c r="D49" i="647" s="1"/>
  <c r="D50" i="647" s="1"/>
  <c r="D51" i="647" s="1"/>
  <c r="D52" i="647" s="1"/>
  <c r="D53" i="647" s="1"/>
  <c r="D54" i="647" s="1"/>
  <c r="D55" i="647" s="1"/>
  <c r="D59" i="647" s="1"/>
  <c r="D60" i="647" s="1"/>
  <c r="D61" i="647" s="1"/>
  <c r="D62" i="647" s="1"/>
  <c r="D63" i="647" s="1"/>
  <c r="C31" i="647"/>
  <c r="A43" i="648" l="1"/>
  <c r="B6" i="648" l="1"/>
  <c r="D30" i="648" s="1"/>
  <c r="E30" i="648" l="1"/>
  <c r="J30" i="648" s="1"/>
  <c r="I30" i="648"/>
  <c r="E36" i="648"/>
  <c r="J36" i="648" s="1"/>
  <c r="D32" i="648"/>
  <c r="D33" i="648"/>
  <c r="D31" i="648"/>
  <c r="D36" i="648"/>
  <c r="D29" i="648"/>
  <c r="D28" i="648"/>
  <c r="E33" i="648" l="1"/>
  <c r="J33" i="648" s="1"/>
  <c r="I33" i="648"/>
  <c r="E29" i="648"/>
  <c r="I29" i="648"/>
  <c r="I36" i="648"/>
  <c r="E31" i="648"/>
  <c r="I31" i="648"/>
  <c r="I32" i="648"/>
  <c r="E32" i="648"/>
  <c r="J32" i="648" s="1"/>
  <c r="E28" i="648"/>
  <c r="I28" i="648"/>
  <c r="D34" i="648"/>
  <c r="J31" i="648" l="1"/>
  <c r="D37" i="648"/>
  <c r="D38" i="648" s="1"/>
  <c r="D35" i="648"/>
  <c r="J28" i="648"/>
  <c r="E34" i="648"/>
  <c r="J29" i="648"/>
  <c r="E35" i="648" l="1"/>
  <c r="F35" i="648" s="1"/>
  <c r="E37" i="648"/>
  <c r="E38" i="648" s="1"/>
  <c r="F38" i="64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Schiegg, Michael BKSD</author>
  </authors>
  <commentList>
    <comment ref="E1" authorId="0" shapeId="0" xr:uid="{00000000-0006-0000-0100-000001000000}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Wenn 1. Mai = Wochenende dann + 0.2 Tage</t>
        </r>
      </text>
    </comment>
    <comment ref="G2" authorId="0" shapeId="0" xr:uid="{00000000-0006-0000-0100-000002000000}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Anzahl Ferientage einer LP ohne zusätzliche Ferientage (sollte 25 sein und bleiben)</t>
        </r>
      </text>
    </comment>
    <comment ref="H2" authorId="0" shapeId="0" xr:uid="{00000000-0006-0000-0100-000003000000}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Anzahl Werktage in der Unterrichtsfreien Zeit abzüglich Feiertage.</t>
        </r>
      </text>
    </comment>
    <comment ref="I2" authorId="0" shapeId="0" xr:uid="{00000000-0006-0000-0100-000004000000}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Anzahl Tage, die aufs Wochenende fallen zwischen dem 1. und dem letzten Tag des Schuljahrs</t>
        </r>
      </text>
    </comment>
    <comment ref="S11" authorId="0" shapeId="0" xr:uid="{00000000-0006-0000-0100-000005000000}">
      <text>
        <r>
          <rPr>
            <b/>
            <sz val="9"/>
            <color indexed="81"/>
            <rFont val="Segoe UI"/>
            <family val="2"/>
          </rPr>
          <t>Schiegg, Michael BKSD:</t>
        </r>
        <r>
          <rPr>
            <sz val="9"/>
            <color indexed="81"/>
            <rFont val="Segoe UI"/>
            <family val="2"/>
          </rPr>
          <t xml:space="preserve">
Nicht immer bezahlt. Wenn nicht bezahlt, dann unter Schulferien eintragen--&gt;Untterichtsfreier Tag!</t>
        </r>
      </text>
    </comment>
  </commentList>
</comments>
</file>

<file path=xl/sharedStrings.xml><?xml version="1.0" encoding="utf-8"?>
<sst xmlns="http://schemas.openxmlformats.org/spreadsheetml/2006/main" count="623" uniqueCount="258">
  <si>
    <t>Jahresarbeitszeit</t>
  </si>
  <si>
    <t>Ferienanspruch</t>
  </si>
  <si>
    <t>von</t>
  </si>
  <si>
    <t>bis</t>
  </si>
  <si>
    <t>JAZ</t>
  </si>
  <si>
    <t>Anzahl Lektionen</t>
  </si>
  <si>
    <t>Ferien</t>
  </si>
  <si>
    <t>Alter</t>
  </si>
  <si>
    <t>Ferientage</t>
  </si>
  <si>
    <t>Lektionen</t>
  </si>
  <si>
    <t>Schulstufe</t>
  </si>
  <si>
    <t>Total</t>
  </si>
  <si>
    <t>A</t>
  </si>
  <si>
    <t>B</t>
  </si>
  <si>
    <t>Auswahl Tagestätigkeit</t>
  </si>
  <si>
    <t>Definition Auswahlfelder</t>
  </si>
  <si>
    <t>Funktion</t>
  </si>
  <si>
    <t>Mögliche Auswahlmenüs</t>
  </si>
  <si>
    <t>Unterrichtstag</t>
  </si>
  <si>
    <t>SUM A-E</t>
  </si>
  <si>
    <t>Wochenende</t>
  </si>
  <si>
    <t>Feiertag</t>
  </si>
  <si>
    <t>Feiertag halb</t>
  </si>
  <si>
    <t>Schulferien</t>
  </si>
  <si>
    <t>Unbezahlter Urlaub</t>
  </si>
  <si>
    <t>unterrichtsfreie Arbeitszeit</t>
  </si>
  <si>
    <t>SUM B-E</t>
  </si>
  <si>
    <t>NR</t>
  </si>
  <si>
    <t>WE</t>
  </si>
  <si>
    <t>FT</t>
  </si>
  <si>
    <t>FH</t>
  </si>
  <si>
    <t>SF</t>
  </si>
  <si>
    <t>UU</t>
  </si>
  <si>
    <t>August</t>
  </si>
  <si>
    <t>Kindergarten</t>
  </si>
  <si>
    <t>ausserschulischer Unterricht</t>
  </si>
  <si>
    <t>September</t>
  </si>
  <si>
    <t>bezahlte Abwesenheit</t>
  </si>
  <si>
    <t>=SOLL</t>
  </si>
  <si>
    <t>Herbst</t>
  </si>
  <si>
    <t>Oktober</t>
  </si>
  <si>
    <t>Musikschule</t>
  </si>
  <si>
    <t>Gleitzeit</t>
  </si>
  <si>
    <t>=0</t>
  </si>
  <si>
    <t>Weihnachten</t>
  </si>
  <si>
    <t>November</t>
  </si>
  <si>
    <t>Fasnacht</t>
  </si>
  <si>
    <t>Dezember</t>
  </si>
  <si>
    <t>Frühjahr</t>
  </si>
  <si>
    <t>Januar</t>
  </si>
  <si>
    <t>Sommer</t>
  </si>
  <si>
    <t>Februar</t>
  </si>
  <si>
    <t>März</t>
  </si>
  <si>
    <t>unbezahlter Urlaub</t>
  </si>
  <si>
    <t>April</t>
  </si>
  <si>
    <t>Mai</t>
  </si>
  <si>
    <t>Juni</t>
  </si>
  <si>
    <t>Juli</t>
  </si>
  <si>
    <t>Berufsauftrag für Lehrpersonen</t>
  </si>
  <si>
    <t>Allgemeine Informationen</t>
  </si>
  <si>
    <t>Schulstufe:</t>
  </si>
  <si>
    <t>Schule:</t>
  </si>
  <si>
    <t>Schuljahr:</t>
  </si>
  <si>
    <t>Informationen zur Lehrperson</t>
  </si>
  <si>
    <t xml:space="preserve">Name: </t>
  </si>
  <si>
    <t xml:space="preserve">Vorname: </t>
  </si>
  <si>
    <t xml:space="preserve">Geburtsdatum (DD.MM.JJJJ): </t>
  </si>
  <si>
    <t>SOLL-Arbeitszeit bei 100% Anstellungsgrad</t>
  </si>
  <si>
    <t>Abzüglich 25 Ferientage</t>
  </si>
  <si>
    <t>Soll-Arbeitszeit allg.</t>
  </si>
  <si>
    <t>Absenzen von mehr als 1 Woche (Anz. Wochen)</t>
  </si>
  <si>
    <t>Umwandlung 13. Monatslohn (Anz. Wochen)</t>
  </si>
  <si>
    <t>Nettosollarbeitszeit</t>
  </si>
  <si>
    <t>Berechnung individuelle Soll-Arbeitszeit</t>
  </si>
  <si>
    <t>In Jahreslektionen</t>
  </si>
  <si>
    <t>Stellen-%</t>
  </si>
  <si>
    <t>Vollpensum (Pflichtstunden)</t>
  </si>
  <si>
    <t>Effektiv erteilte Unterrichtslektionen</t>
  </si>
  <si>
    <t>Weitere Lektionen für Spezialfunktionen (EA1 und EA2)</t>
  </si>
  <si>
    <t>Total Grundauftrag (A/B/C/D/E)</t>
  </si>
  <si>
    <t>Vereinbarung über Bereiche C, D und E</t>
  </si>
  <si>
    <t>Vereinbarung</t>
  </si>
  <si>
    <t>Bereiche C und D</t>
  </si>
  <si>
    <t>Anzahl</t>
  </si>
  <si>
    <t>Einheit</t>
  </si>
  <si>
    <t>Saldo C/D/E</t>
  </si>
  <si>
    <t>Stunden</t>
  </si>
  <si>
    <t>SCHIWEs</t>
  </si>
  <si>
    <t>Besprechung mit SL/MAG</t>
  </si>
  <si>
    <t>Elternabende</t>
  </si>
  <si>
    <t>Schulkonvente</t>
  </si>
  <si>
    <t>Schulveranstaltungen</t>
  </si>
  <si>
    <t>Mögliche Auswahl</t>
  </si>
  <si>
    <t>Bitte auswählen</t>
  </si>
  <si>
    <t>Total Bereiche C und D</t>
  </si>
  <si>
    <t>Total Bereich E</t>
  </si>
  <si>
    <t>TOTAL C/D/E</t>
  </si>
  <si>
    <t>Vereinbarung Erweiterter Auftrag</t>
  </si>
  <si>
    <t>Erweiterter Auftrag 1</t>
  </si>
  <si>
    <t>Klassenleitung</t>
  </si>
  <si>
    <t>Jahreslektionen</t>
  </si>
  <si>
    <t>Total EA 1</t>
  </si>
  <si>
    <t>Erweiterter Auftrag 2</t>
  </si>
  <si>
    <t>Bitte angeben</t>
  </si>
  <si>
    <t>Total EA 2</t>
  </si>
  <si>
    <t>Total Erweiterter Auftrag</t>
  </si>
  <si>
    <t>Total Grundauftrag und Erweiterter Auftrag</t>
  </si>
  <si>
    <t>Datum:</t>
  </si>
  <si>
    <t>Schulleitung:</t>
  </si>
  <si>
    <t>Lehrperson:</t>
  </si>
  <si>
    <t>Aufteilung A/B/C/D/E technisch</t>
  </si>
  <si>
    <t>Jahr</t>
  </si>
  <si>
    <t>SOLL-Arbeitszeit (nur 5 Wochen Ferien abgezogen)</t>
  </si>
  <si>
    <t>Anzahl Schulwoche insgeamt</t>
  </si>
  <si>
    <t>Anzahl Wochen Unterrichtsfreie Zeit</t>
  </si>
  <si>
    <t>Berechnung Anteile</t>
  </si>
  <si>
    <t>Total Stunden</t>
  </si>
  <si>
    <t>Pensum in Schulwoche</t>
  </si>
  <si>
    <t>Pensum in Schulferien (exkl. Ferien)</t>
  </si>
  <si>
    <t>Bereich A</t>
  </si>
  <si>
    <t>Stunden/Woche</t>
  </si>
  <si>
    <t>Stunden/Jahr</t>
  </si>
  <si>
    <t>C/D/E</t>
  </si>
  <si>
    <t>Davon:</t>
  </si>
  <si>
    <t>(in %)</t>
  </si>
  <si>
    <t>Bereich C</t>
  </si>
  <si>
    <t>EA1 PS</t>
  </si>
  <si>
    <t>EA 1 Sek I</t>
  </si>
  <si>
    <t>EA1 Sek II</t>
  </si>
  <si>
    <t>EA1 Sek II Berufsfachschule</t>
  </si>
  <si>
    <t>Gymnasium und FMS</t>
  </si>
  <si>
    <t>Berufsfachschulen und schulische Module Brückenangebote</t>
  </si>
  <si>
    <t>Berufsmaturitätsschule und WMS</t>
  </si>
  <si>
    <t>PICTS</t>
  </si>
  <si>
    <t>Stundenplaner/in</t>
  </si>
  <si>
    <t>Unterricht Mehrjahrgangsklasse</t>
  </si>
  <si>
    <t>Laufbahnverantwortliche/r</t>
  </si>
  <si>
    <t>Beauftragte/r BWB</t>
  </si>
  <si>
    <t>Arbeitsgruppen/Kommissionen</t>
  </si>
  <si>
    <t>Beratung Schüler/innen u. Eltern</t>
  </si>
  <si>
    <t>Lagerbegleitung (max. 4h/Tag)</t>
  </si>
  <si>
    <t>Standortgespräche</t>
  </si>
  <si>
    <t>Anteil A/B</t>
  </si>
  <si>
    <t>Anteil C/D/E</t>
  </si>
  <si>
    <t>Primarschule</t>
  </si>
  <si>
    <t>Sekundarschule</t>
  </si>
  <si>
    <t>Psychomotorik und Logopädie</t>
  </si>
  <si>
    <t>automatisch</t>
  </si>
  <si>
    <t>Gesamtes Jahr</t>
  </si>
  <si>
    <t>Auffahrt</t>
  </si>
  <si>
    <t>Pfingstmontag</t>
  </si>
  <si>
    <t>Nationalfeiertag</t>
  </si>
  <si>
    <t>Weihnachtstag</t>
  </si>
  <si>
    <t>Stephanstag</t>
  </si>
  <si>
    <t>Neujahr</t>
  </si>
  <si>
    <t>Karfreitag</t>
  </si>
  <si>
    <t>Ostermontag</t>
  </si>
  <si>
    <t>Silverster Nachmittag</t>
  </si>
  <si>
    <t>Heiligabend Nachmittag</t>
  </si>
  <si>
    <t>Fasnachtsmontag Nachmittag</t>
  </si>
  <si>
    <t>Fasnachstmittwoch Nachmittag</t>
  </si>
  <si>
    <t>Bereich EA1/EA2</t>
  </si>
  <si>
    <t>Stunden/Woche inkl. EA1/EA2</t>
  </si>
  <si>
    <t>Jahr inkl. EA1/EA2</t>
  </si>
  <si>
    <t>Wochentag</t>
  </si>
  <si>
    <t>Anzahl Arbeitswochen</t>
  </si>
  <si>
    <t>Jahreslektion</t>
  </si>
  <si>
    <t>manuell</t>
  </si>
  <si>
    <t>Anz. Lekt. Unterricht</t>
  </si>
  <si>
    <t>Korrektur SOLL-Arbeitszeit aufgrund Alter</t>
  </si>
  <si>
    <t>Pflichtstunden</t>
  </si>
  <si>
    <t>Bereich C MS</t>
  </si>
  <si>
    <t>Elternarbeit</t>
  </si>
  <si>
    <t>Konvente</t>
  </si>
  <si>
    <t>MAGs</t>
  </si>
  <si>
    <t>Unterrichtsbesuche</t>
  </si>
  <si>
    <t>Evaluation</t>
  </si>
  <si>
    <t>Instrumentenpräsentationen</t>
  </si>
  <si>
    <t>Gemeinschaftliches Arbeiten in unterrichtsfreier Zeit (2 Tage)</t>
  </si>
  <si>
    <t>Kompensation angeordnete Überzeit</t>
  </si>
  <si>
    <t>Vollpensum (Pflichtlektionen)</t>
  </si>
  <si>
    <t>Schulstufen</t>
  </si>
  <si>
    <t>Für SVERWEIS</t>
  </si>
  <si>
    <t>manuell/automatisch</t>
  </si>
  <si>
    <r>
      <t>Angeordnete Überzeit</t>
    </r>
    <r>
      <rPr>
        <sz val="9"/>
        <rFont val="Arial"/>
        <family val="2"/>
      </rPr>
      <t xml:space="preserve"> (Ausnahmefall gemäss VO § 11 Abs. 6)</t>
    </r>
  </si>
  <si>
    <t>Projekte/Arbeitsgruppen</t>
  </si>
  <si>
    <t>Konzerte eigene</t>
  </si>
  <si>
    <t>Aufführungen SuS</t>
  </si>
  <si>
    <t>Korepetieren</t>
  </si>
  <si>
    <t>Variable Grundlagen</t>
  </si>
  <si>
    <t>Grundsätzlich Fixe Grundlagen</t>
  </si>
  <si>
    <t>Fixe Grundlagen</t>
  </si>
  <si>
    <t>Aktuelles Schuljahr</t>
  </si>
  <si>
    <t>Tag der Arbeit</t>
  </si>
  <si>
    <t>Jahreslektion für Spezialfunktionen (EA1/EA2)</t>
  </si>
  <si>
    <t>Bereich B (Residualgrösse)</t>
  </si>
  <si>
    <t>Anteil vom Grundauftrag</t>
  </si>
  <si>
    <t>Pensum CDE in %</t>
  </si>
  <si>
    <t>Pensum A in %</t>
  </si>
  <si>
    <t>Pensum A in Stunden</t>
  </si>
  <si>
    <t>Pensum CDE in Stunden</t>
  </si>
  <si>
    <t>Pensum B in %</t>
  </si>
  <si>
    <t>Pensum B in Stunden</t>
  </si>
  <si>
    <t>Pensum EA in Stunden</t>
  </si>
  <si>
    <t>Pensum EA in %</t>
  </si>
  <si>
    <t>Pensum CDE altersbedingte Korrektur in h</t>
  </si>
  <si>
    <t>Pensum CDE altersbedingte Korrektur in %</t>
  </si>
  <si>
    <t>Korrektur um nicht bezahlte Abwesenheit</t>
  </si>
  <si>
    <t>Lektionen als Grundlage</t>
  </si>
  <si>
    <r>
      <t>Bereich C/D/E (</t>
    </r>
    <r>
      <rPr>
        <b/>
        <sz val="9"/>
        <color rgb="FFFF0000"/>
        <rFont val="Verdana"/>
        <family val="2"/>
      </rPr>
      <t>altersbedingte Korrektur berücksichtigt</t>
    </r>
    <r>
      <rPr>
        <sz val="9"/>
        <rFont val="Verdana"/>
        <family val="2"/>
      </rPr>
      <t>)</t>
    </r>
  </si>
  <si>
    <t>Arbeitszeit pro Tag UW</t>
  </si>
  <si>
    <t>Arbeitszeit pro Tag UFZ</t>
  </si>
  <si>
    <t>Lektionen für Klassenleitung (EA1)</t>
  </si>
  <si>
    <t>Anz. Lekt. Klassenleit.</t>
  </si>
  <si>
    <t>Lekt. weitere Spezialfunkt.</t>
  </si>
  <si>
    <t>Lektionen für weitere Spezialfunktionen (EA1 und EA2)</t>
  </si>
  <si>
    <t>Anzahl Tage</t>
  </si>
  <si>
    <t>Schuljahr von</t>
  </si>
  <si>
    <t>Schuljahr bis</t>
  </si>
  <si>
    <t>Feiertage</t>
  </si>
  <si>
    <t>Übersicht Arbeitstage</t>
  </si>
  <si>
    <t>unterrichts-freie Arbeits-zeit*</t>
  </si>
  <si>
    <t>Wochen-ende</t>
  </si>
  <si>
    <t>&lt;--Bitte manuell in B26/B27/B28 übertragen</t>
  </si>
  <si>
    <t>Saldo EA</t>
  </si>
  <si>
    <t>Schulinterne Begleitung Berufseinsteigende</t>
  </si>
  <si>
    <t>Zusammenarbeit Integrative Sonderschulung (VO SoPä)</t>
  </si>
  <si>
    <t>EA1 KG</t>
  </si>
  <si>
    <t>2025/2026</t>
  </si>
  <si>
    <t>freier Tag nach Auffahrt</t>
  </si>
  <si>
    <t>*(inkl. Arbeitszeit bei halben Feiertage und exkl. freier Freitag nach Auffahrt)</t>
  </si>
  <si>
    <t>Unterrichtsfreie Arbeitszeit</t>
  </si>
  <si>
    <t>Kontrollen</t>
  </si>
  <si>
    <t>ja</t>
  </si>
  <si>
    <t>nein</t>
  </si>
  <si>
    <t>Anzahl Stunden</t>
  </si>
  <si>
    <t>Total Tage in ZD</t>
  </si>
  <si>
    <t>Teil Sollarbeitszeit</t>
  </si>
  <si>
    <t>Davon Bereich B</t>
  </si>
  <si>
    <t>Anteil in % von SOLL-Arbeitszeit</t>
  </si>
  <si>
    <t>SOLL-Arbeitszeit Schuljahr 2025/2026</t>
  </si>
  <si>
    <t>Schulferien Schuljahr 2025/2026</t>
  </si>
  <si>
    <t>Feiertage Schuljahr 2025/2026</t>
  </si>
  <si>
    <t>Feiertage halb Schuljahr 2025/2026</t>
  </si>
  <si>
    <t>Werktag</t>
  </si>
  <si>
    <t>Kindergarten28</t>
  </si>
  <si>
    <t>Primarschule28</t>
  </si>
  <si>
    <t>Sekundarschule27</t>
  </si>
  <si>
    <t>Gymnasium und FMS22</t>
  </si>
  <si>
    <t>Gymnasium und FMS26</t>
  </si>
  <si>
    <t>Berufsfachschulen und schulische Module Brückenangebote22</t>
  </si>
  <si>
    <t>Berufsfachschulen und schulische Module Brückenangebote23</t>
  </si>
  <si>
    <t>Berufsfachschulen und schulische Module Brückenangebote24</t>
  </si>
  <si>
    <t>Berufsfachschulen und schulische Module Brückenangebote26</t>
  </si>
  <si>
    <t>Berufsmaturitätsschule und WMS22</t>
  </si>
  <si>
    <t>Berufsmaturitätsschule und WMS26</t>
  </si>
  <si>
    <t>Musikschule27</t>
  </si>
  <si>
    <t>Psychomotorik und Logopädie27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</si>
</sst>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3" formatCode="_ * #,##0.00_ ;_ * \-#,##0.00_ ;_ * &quot;-&quot;??_ ;_ @_ "/>
    <numFmt numFmtId="164" formatCode="0.0"/>
    <numFmt numFmtId="165" formatCode="0.000"/>
    <numFmt numFmtId="166" formatCode="_ * #,##0.0_ ;_ * \-#,##0.0_ ;_ * &quot;-&quot;??_ ;_ @_ "/>
    <numFmt numFmtId="167" formatCode="0.0%"/>
    <numFmt numFmtId="168" formatCode="#,##0.0\ &quot;h&quot;"/>
    <numFmt numFmtId="169" formatCode="_ * #,##0_ ;_ * \-#,##0_ ;_ * &quot;-&quot;??_ ;_ @_ "/>
    <numFmt numFmtId="170" formatCode="[$-F400]h:mm:ss\ AM/PM"/>
    <numFmt numFmtId="171" formatCode="0.0000"/>
    <numFmt numFmtId="172" formatCode="0.0000%"/>
    <numFmt numFmtId="173" formatCode="0.000%"/>
    <numFmt numFmtId="174" formatCode="_ * #,##0.0_ ;_ * \-#,##0.0_ ;_ * &quot;-&quot;?_ ;_ @_ "/>
  </numFmts>
  <fonts count="41" x14ac:knownFonts="1">
    <font>
      <sz val="12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u/>
      <sz val="12"/>
      <color theme="10"/>
      <name val="Arial"/>
      <family val="2"/>
      <scheme val="minor"/>
    </font>
    <font>
      <u/>
      <sz val="12"/>
      <color theme="11"/>
      <name val="Arial"/>
      <family val="2"/>
      <scheme val="minor"/>
    </font>
    <font>
      <sz val="12"/>
      <color theme="1" tint="0.499984740745262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2"/>
      <color rgb="FFFF0000"/>
      <name val="Arial"/>
      <family val="2"/>
      <scheme val="minor"/>
    </font>
    <font>
      <b/>
      <sz val="12"/>
      <color theme="1" tint="0.499984740745262"/>
      <name val="Arial"/>
      <family val="2"/>
      <scheme val="minor"/>
    </font>
    <font>
      <sz val="10"/>
      <name val="Verdana"/>
      <family val="2"/>
    </font>
    <font>
      <b/>
      <sz val="16"/>
      <name val="Arial"/>
      <family val="2"/>
    </font>
    <font>
      <sz val="10"/>
      <name val="Verdana"/>
      <family val="2"/>
    </font>
    <font>
      <sz val="12"/>
      <name val="Verdana"/>
      <family val="2"/>
    </font>
    <font>
      <b/>
      <sz val="12"/>
      <name val="Arial"/>
      <family val="2"/>
    </font>
    <font>
      <sz val="11"/>
      <name val="Verdana"/>
      <family val="2"/>
    </font>
    <font>
      <sz val="12"/>
      <name val="Arial"/>
      <family val="2"/>
    </font>
    <font>
      <sz val="11"/>
      <name val="Arial"/>
      <family val="2"/>
    </font>
    <font>
      <sz val="12"/>
      <color theme="0" tint="-0.499984740745262"/>
      <name val="Arial"/>
      <family val="2"/>
    </font>
    <font>
      <sz val="11"/>
      <color theme="0" tint="-0.499984740745262"/>
      <name val="Arial"/>
      <family val="2"/>
    </font>
    <font>
      <b/>
      <sz val="11"/>
      <name val="Arial"/>
      <family val="2"/>
    </font>
    <font>
      <b/>
      <sz val="12"/>
      <color rgb="FFFF0000"/>
      <name val="Arial"/>
      <family val="2"/>
    </font>
    <font>
      <b/>
      <sz val="11"/>
      <color rgb="FFFF0000"/>
      <name val="Verdana"/>
      <family val="2"/>
    </font>
    <font>
      <sz val="10"/>
      <name val="Arial"/>
      <family val="2"/>
    </font>
    <font>
      <b/>
      <sz val="10"/>
      <name val="Verdana"/>
      <family val="2"/>
    </font>
    <font>
      <strike/>
      <sz val="10"/>
      <color rgb="FFFF0000"/>
      <name val="Verdana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u/>
      <sz val="10"/>
      <color theme="10"/>
      <name val="Verdana"/>
      <family val="2"/>
    </font>
    <font>
      <b/>
      <sz val="12"/>
      <color rgb="FFC00000"/>
      <name val="Arial"/>
      <family val="2"/>
    </font>
    <font>
      <sz val="12"/>
      <color rgb="FFFF0000"/>
      <name val="Arial"/>
      <family val="2"/>
    </font>
    <font>
      <sz val="10"/>
      <color rgb="FFFF0000"/>
      <name val="Verdana"/>
      <family val="2"/>
    </font>
    <font>
      <sz val="9"/>
      <name val="Arial"/>
      <family val="2"/>
    </font>
    <font>
      <sz val="10"/>
      <color theme="0" tint="-0.499984740745262"/>
      <name val="Verdana"/>
      <family val="2"/>
    </font>
    <font>
      <sz val="10"/>
      <color theme="1" tint="0.34998626667073579"/>
      <name val="Verdana"/>
      <family val="2"/>
    </font>
    <font>
      <sz val="12"/>
      <color theme="1" tint="0.34998626667073579"/>
      <name val="Arial"/>
      <family val="2"/>
      <scheme val="minor"/>
    </font>
    <font>
      <b/>
      <sz val="10"/>
      <color rgb="FFFF0000"/>
      <name val="Verdana"/>
      <family val="2"/>
    </font>
    <font>
      <sz val="9"/>
      <name val="Verdana"/>
      <family val="2"/>
    </font>
    <font>
      <b/>
      <sz val="9"/>
      <color rgb="FFFF0000"/>
      <name val="Verdana"/>
      <family val="2"/>
    </font>
    <font>
      <sz val="12"/>
      <name val="Arial"/>
      <family val="2"/>
      <scheme val="minor"/>
    </font>
    <font>
      <sz val="12"/>
      <name val="Arial"/>
      <family val="2"/>
      <scheme val="major"/>
    </font>
  </fonts>
  <fills count="24">
    <fill>
      <patternFill patternType="none"/>
    </fill>
    <fill>
      <patternFill patternType="gray125"/>
    </fill>
    <fill>
      <patternFill patternType="solid">
        <fgColor rgb="FFF0F0F0"/>
        <bgColor indexed="64"/>
      </patternFill>
    </fill>
    <fill>
      <patternFill patternType="solid">
        <fgColor rgb="FFE6E6E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theme="0" tint="-0.249977111117893"/>
      </left>
      <right/>
      <top/>
      <bottom/>
      <diagonal/>
    </border>
    <border>
      <left style="thin">
        <color theme="9" tint="-0.249977111117893"/>
      </left>
      <right style="thin">
        <color theme="9" tint="-0.249977111117893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theme="0" tint="-4.9989318521683403E-2"/>
      </left>
      <right style="medium">
        <color theme="0" tint="-4.9989318521683403E-2"/>
      </right>
      <top style="medium">
        <color theme="0" tint="-4.9989318521683403E-2"/>
      </top>
      <bottom style="medium">
        <color theme="0" tint="-4.9989318521683403E-2"/>
      </bottom>
      <diagonal/>
    </border>
    <border>
      <left style="thin">
        <color theme="9" tint="-0.249977111117893"/>
      </left>
      <right style="thin">
        <color theme="9" tint="-0.499984740745262"/>
      </right>
      <top style="thin">
        <color theme="9" tint="-0.249977111117893"/>
      </top>
      <bottom style="thin">
        <color theme="9" tint="-0.249977111117893"/>
      </bottom>
      <diagonal/>
    </border>
    <border>
      <left style="thin">
        <color theme="9" tint="-0.249977111117893"/>
      </left>
      <right style="thin">
        <color theme="9" tint="-0.249977111117893"/>
      </right>
      <top/>
      <bottom style="thin">
        <color theme="9" tint="-0.249977111117893"/>
      </bottom>
      <diagonal/>
    </border>
    <border>
      <left style="thin">
        <color theme="9" tint="-0.249977111117893"/>
      </left>
      <right/>
      <top style="thin">
        <color theme="9" tint="-0.249977111117893"/>
      </top>
      <bottom/>
      <diagonal/>
    </border>
    <border>
      <left/>
      <right style="thin">
        <color theme="9" tint="-0.249977111117893"/>
      </right>
      <top style="thin">
        <color theme="9" tint="-0.249977111117893"/>
      </top>
      <bottom/>
      <diagonal/>
    </border>
    <border>
      <left style="medium">
        <color theme="0" tint="-4.9989318521683403E-2"/>
      </left>
      <right/>
      <top style="medium">
        <color theme="0" tint="-4.9989318521683403E-2"/>
      </top>
      <bottom style="medium">
        <color theme="0" tint="-4.9989318521683403E-2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9" tint="-0.249977111117893"/>
      </bottom>
      <diagonal/>
    </border>
    <border>
      <left style="medium">
        <color rgb="FF7030A0"/>
      </left>
      <right style="medium">
        <color rgb="FF7030A0"/>
      </right>
      <top style="medium">
        <color rgb="FF7030A0"/>
      </top>
      <bottom style="medium">
        <color rgb="FF7030A0"/>
      </bottom>
      <diagonal/>
    </border>
    <border>
      <left/>
      <right style="medium">
        <color theme="0" tint="-4.9989318521683403E-2"/>
      </right>
      <top style="medium">
        <color theme="0" tint="-4.9989318521683403E-2"/>
      </top>
      <bottom style="medium">
        <color theme="0" tint="-4.9989318521683403E-2"/>
      </bottom>
      <diagonal/>
    </border>
    <border>
      <left style="medium">
        <color theme="0" tint="-4.9989318521683403E-2"/>
      </left>
      <right style="medium">
        <color theme="0" tint="-4.9989318521683403E-2"/>
      </right>
      <top style="medium">
        <color theme="0" tint="-4.9989318521683403E-2"/>
      </top>
      <bottom/>
      <diagonal/>
    </border>
    <border>
      <left style="medium">
        <color theme="0" tint="-4.9989318521683403E-2"/>
      </left>
      <right style="medium">
        <color theme="0" tint="-4.9989318521683403E-2"/>
      </right>
      <top/>
      <bottom style="medium">
        <color theme="0" tint="-4.9989318521683403E-2"/>
      </bottom>
      <diagonal/>
    </border>
    <border>
      <left style="medium">
        <color rgb="FF7030A0"/>
      </left>
      <right style="medium">
        <color rgb="FF7030A0"/>
      </right>
      <top style="medium">
        <color rgb="FF7030A0"/>
      </top>
      <bottom style="medium">
        <color theme="0" tint="-4.9989318521683403E-2"/>
      </bottom>
      <diagonal/>
    </border>
    <border>
      <left style="medium">
        <color rgb="FF7030A0"/>
      </left>
      <right style="medium">
        <color rgb="FF7030A0"/>
      </right>
      <top style="medium">
        <color theme="0" tint="-4.9989318521683403E-2"/>
      </top>
      <bottom style="medium">
        <color theme="0" tint="-4.9989318521683403E-2"/>
      </bottom>
      <diagonal/>
    </border>
    <border>
      <left style="medium">
        <color rgb="FF7030A0"/>
      </left>
      <right style="medium">
        <color rgb="FF7030A0"/>
      </right>
      <top style="medium">
        <color theme="0" tint="-4.9989318521683403E-2"/>
      </top>
      <bottom style="medium">
        <color rgb="FF7030A0"/>
      </bottom>
      <diagonal/>
    </border>
    <border>
      <left/>
      <right/>
      <top style="medium">
        <color theme="0" tint="-4.9989318521683403E-2"/>
      </top>
      <bottom style="medium">
        <color theme="0" tint="-4.9989318521683403E-2"/>
      </bottom>
      <diagonal/>
    </border>
    <border>
      <left style="medium">
        <color rgb="FF7030A0"/>
      </left>
      <right/>
      <top style="medium">
        <color rgb="FF7030A0"/>
      </top>
      <bottom style="medium">
        <color rgb="FF7030A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/>
      <top/>
      <bottom style="medium">
        <color theme="0" tint="-4.9989318521683403E-2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65">
    <xf numFmtId="0" fontId="0" fillId="0" borderId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10" fillId="0" borderId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8" fillId="0" borderId="0" applyNumberFormat="0" applyFill="0" applyBorder="0" applyAlignment="0" applyProtection="0"/>
    <xf numFmtId="9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" fillId="0" borderId="0"/>
    <xf numFmtId="0" fontId="2" fillId="0" borderId="0"/>
  </cellStyleXfs>
  <cellXfs count="277">
    <xf numFmtId="0" fontId="0" fillId="0" borderId="0" xfId="0"/>
    <xf numFmtId="0" fontId="3" fillId="2" borderId="0" xfId="0" applyFont="1" applyFill="1"/>
    <xf numFmtId="0" fontId="9" fillId="2" borderId="0" xfId="0" applyFont="1" applyFill="1"/>
    <xf numFmtId="0" fontId="10" fillId="0" borderId="0" xfId="56"/>
    <xf numFmtId="0" fontId="16" fillId="0" borderId="0" xfId="56" applyFont="1" applyAlignment="1">
      <alignment vertical="center"/>
    </xf>
    <xf numFmtId="0" fontId="24" fillId="0" borderId="0" xfId="56" applyFont="1"/>
    <xf numFmtId="0" fontId="12" fillId="8" borderId="6" xfId="56" applyFont="1" applyFill="1" applyBorder="1"/>
    <xf numFmtId="2" fontId="10" fillId="10" borderId="6" xfId="56" applyNumberFormat="1" applyFill="1" applyBorder="1"/>
    <xf numFmtId="2" fontId="10" fillId="10" borderId="6" xfId="56" applyNumberFormat="1" applyFill="1" applyBorder="1" applyAlignment="1">
      <alignment horizontal="right"/>
    </xf>
    <xf numFmtId="0" fontId="10" fillId="10" borderId="6" xfId="56" applyFill="1" applyBorder="1"/>
    <xf numFmtId="0" fontId="12" fillId="10" borderId="6" xfId="56" applyFont="1" applyFill="1" applyBorder="1"/>
    <xf numFmtId="0" fontId="12" fillId="0" borderId="0" xfId="56" applyFont="1"/>
    <xf numFmtId="0" fontId="24" fillId="8" borderId="6" xfId="56" applyFont="1" applyFill="1" applyBorder="1"/>
    <xf numFmtId="0" fontId="12" fillId="8" borderId="6" xfId="56" applyFont="1" applyFill="1" applyBorder="1" applyAlignment="1">
      <alignment wrapText="1"/>
    </xf>
    <xf numFmtId="43" fontId="10" fillId="9" borderId="6" xfId="56" applyNumberFormat="1" applyFill="1" applyBorder="1"/>
    <xf numFmtId="43" fontId="10" fillId="0" borderId="6" xfId="56" applyNumberFormat="1" applyBorder="1"/>
    <xf numFmtId="10" fontId="0" fillId="9" borderId="6" xfId="58" applyNumberFormat="1" applyFont="1" applyFill="1" applyBorder="1"/>
    <xf numFmtId="43" fontId="0" fillId="10" borderId="6" xfId="57" applyFont="1" applyFill="1" applyBorder="1"/>
    <xf numFmtId="0" fontId="16" fillId="8" borderId="6" xfId="56" applyFont="1" applyFill="1" applyBorder="1" applyAlignment="1">
      <alignment vertical="center"/>
    </xf>
    <xf numFmtId="43" fontId="10" fillId="0" borderId="0" xfId="56" applyNumberFormat="1"/>
    <xf numFmtId="43" fontId="16" fillId="0" borderId="6" xfId="57" applyFont="1" applyBorder="1" applyAlignment="1">
      <alignment vertical="center"/>
    </xf>
    <xf numFmtId="167" fontId="16" fillId="0" borderId="0" xfId="56" applyNumberFormat="1" applyFont="1" applyAlignment="1">
      <alignment vertical="center"/>
    </xf>
    <xf numFmtId="167" fontId="16" fillId="0" borderId="6" xfId="58" applyNumberFormat="1" applyFont="1" applyBorder="1" applyAlignment="1">
      <alignment vertical="center"/>
    </xf>
    <xf numFmtId="164" fontId="16" fillId="0" borderId="0" xfId="56" applyNumberFormat="1" applyFont="1" applyAlignment="1">
      <alignment vertical="center"/>
    </xf>
    <xf numFmtId="0" fontId="10" fillId="0" borderId="0" xfId="56" applyAlignment="1">
      <alignment vertical="top" wrapText="1"/>
    </xf>
    <xf numFmtId="14" fontId="0" fillId="0" borderId="0" xfId="0" applyNumberFormat="1"/>
    <xf numFmtId="0" fontId="0" fillId="0" borderId="0" xfId="0" applyFont="1"/>
    <xf numFmtId="16" fontId="0" fillId="0" borderId="0" xfId="0" applyNumberFormat="1"/>
    <xf numFmtId="43" fontId="10" fillId="0" borderId="0" xfId="55" applyFont="1"/>
    <xf numFmtId="0" fontId="0" fillId="0" borderId="0" xfId="0" applyAlignment="1">
      <alignment wrapText="1"/>
    </xf>
    <xf numFmtId="10" fontId="0" fillId="9" borderId="0" xfId="58" applyNumberFormat="1" applyFont="1" applyFill="1" applyBorder="1"/>
    <xf numFmtId="0" fontId="10" fillId="8" borderId="0" xfId="56" applyFont="1" applyFill="1" applyBorder="1"/>
    <xf numFmtId="171" fontId="10" fillId="0" borderId="0" xfId="56" applyNumberFormat="1"/>
    <xf numFmtId="0" fontId="10" fillId="8" borderId="6" xfId="56" applyFont="1" applyFill="1" applyBorder="1"/>
    <xf numFmtId="0" fontId="10" fillId="8" borderId="0" xfId="56" applyFill="1"/>
    <xf numFmtId="170" fontId="10" fillId="0" borderId="0" xfId="56" applyNumberFormat="1"/>
    <xf numFmtId="0" fontId="10" fillId="0" borderId="0" xfId="56" applyFont="1"/>
    <xf numFmtId="43" fontId="31" fillId="0" borderId="0" xfId="55" applyFont="1"/>
    <xf numFmtId="0" fontId="31" fillId="0" borderId="0" xfId="56" applyFont="1"/>
    <xf numFmtId="0" fontId="10" fillId="15" borderId="0" xfId="56" applyFill="1"/>
    <xf numFmtId="0" fontId="0" fillId="11" borderId="0" xfId="0" applyFill="1"/>
    <xf numFmtId="0" fontId="3" fillId="11" borderId="9" xfId="0" applyFont="1" applyFill="1" applyBorder="1" applyAlignment="1">
      <alignment wrapText="1"/>
    </xf>
    <xf numFmtId="0" fontId="3" fillId="11" borderId="9" xfId="0" applyFont="1" applyFill="1" applyBorder="1"/>
    <xf numFmtId="0" fontId="0" fillId="11" borderId="9" xfId="0" applyFill="1" applyBorder="1" applyAlignment="1">
      <alignment wrapText="1"/>
    </xf>
    <xf numFmtId="0" fontId="0" fillId="9" borderId="9" xfId="0" applyFill="1" applyBorder="1" applyAlignment="1">
      <alignment wrapText="1"/>
    </xf>
    <xf numFmtId="0" fontId="16" fillId="9" borderId="9" xfId="0" applyFont="1" applyFill="1" applyBorder="1" applyAlignment="1">
      <alignment wrapText="1"/>
    </xf>
    <xf numFmtId="0" fontId="10" fillId="0" borderId="0" xfId="56" applyAlignment="1">
      <alignment wrapText="1"/>
    </xf>
    <xf numFmtId="0" fontId="0" fillId="9" borderId="0" xfId="0" applyFill="1" applyAlignment="1">
      <alignment wrapText="1"/>
    </xf>
    <xf numFmtId="0" fontId="17" fillId="11" borderId="9" xfId="56" applyFont="1" applyFill="1" applyBorder="1" applyAlignment="1">
      <alignment horizontal="right"/>
    </xf>
    <xf numFmtId="0" fontId="12" fillId="9" borderId="9" xfId="56" applyFont="1" applyFill="1" applyBorder="1" applyAlignment="1">
      <alignment wrapText="1"/>
    </xf>
    <xf numFmtId="0" fontId="10" fillId="9" borderId="9" xfId="56" applyFont="1" applyFill="1" applyBorder="1" applyAlignment="1">
      <alignment horizontal="center" wrapText="1"/>
    </xf>
    <xf numFmtId="0" fontId="12" fillId="9" borderId="9" xfId="56" applyFont="1" applyFill="1" applyBorder="1"/>
    <xf numFmtId="0" fontId="7" fillId="11" borderId="0" xfId="0" applyFont="1" applyFill="1" applyAlignment="1">
      <alignment wrapText="1"/>
    </xf>
    <xf numFmtId="0" fontId="0" fillId="11" borderId="0" xfId="0" applyFill="1" applyAlignment="1">
      <alignment wrapText="1"/>
    </xf>
    <xf numFmtId="0" fontId="3" fillId="9" borderId="0" xfId="0" applyFont="1" applyFill="1" applyAlignment="1">
      <alignment wrapText="1"/>
    </xf>
    <xf numFmtId="0" fontId="3" fillId="9" borderId="0" xfId="0" applyFont="1" applyFill="1"/>
    <xf numFmtId="0" fontId="8" fillId="9" borderId="0" xfId="0" applyFont="1" applyFill="1"/>
    <xf numFmtId="0" fontId="0" fillId="8" borderId="9" xfId="0" applyFill="1" applyBorder="1"/>
    <xf numFmtId="0" fontId="6" fillId="8" borderId="9" xfId="0" applyFont="1" applyFill="1" applyBorder="1"/>
    <xf numFmtId="0" fontId="6" fillId="8" borderId="9" xfId="0" quotePrefix="1" applyFont="1" applyFill="1" applyBorder="1"/>
    <xf numFmtId="0" fontId="10" fillId="8" borderId="9" xfId="56" applyFill="1" applyBorder="1"/>
    <xf numFmtId="10" fontId="10" fillId="8" borderId="9" xfId="56" applyNumberFormat="1" applyFill="1" applyBorder="1"/>
    <xf numFmtId="0" fontId="17" fillId="8" borderId="9" xfId="56" applyFont="1" applyFill="1" applyBorder="1"/>
    <xf numFmtId="0" fontId="10" fillId="11" borderId="9" xfId="56" applyFill="1" applyBorder="1" applyAlignment="1">
      <alignment vertical="top" wrapText="1"/>
    </xf>
    <xf numFmtId="0" fontId="12" fillId="11" borderId="9" xfId="56" applyFont="1" applyFill="1" applyBorder="1" applyAlignment="1">
      <alignment vertical="top" wrapText="1"/>
    </xf>
    <xf numFmtId="0" fontId="10" fillId="11" borderId="9" xfId="56" applyFont="1" applyFill="1" applyBorder="1" applyAlignment="1">
      <alignment vertical="top" wrapText="1"/>
    </xf>
    <xf numFmtId="0" fontId="12" fillId="9" borderId="9" xfId="56" applyFont="1" applyFill="1" applyBorder="1" applyAlignment="1">
      <alignment vertical="top" wrapText="1"/>
    </xf>
    <xf numFmtId="0" fontId="10" fillId="9" borderId="9" xfId="56" applyFill="1" applyBorder="1" applyAlignment="1">
      <alignment vertical="top" wrapText="1"/>
    </xf>
    <xf numFmtId="0" fontId="12" fillId="0" borderId="0" xfId="56" applyFont="1" applyAlignment="1">
      <alignment wrapText="1"/>
    </xf>
    <xf numFmtId="0" fontId="10" fillId="11" borderId="14" xfId="56" applyFill="1" applyBorder="1" applyAlignment="1">
      <alignment vertical="top" wrapText="1"/>
    </xf>
    <xf numFmtId="0" fontId="12" fillId="9" borderId="14" xfId="56" applyFont="1" applyFill="1" applyBorder="1" applyAlignment="1">
      <alignment vertical="top" wrapText="1"/>
    </xf>
    <xf numFmtId="0" fontId="10" fillId="11" borderId="14" xfId="56" applyFont="1" applyFill="1" applyBorder="1" applyAlignment="1">
      <alignment vertical="top" wrapText="1"/>
    </xf>
    <xf numFmtId="0" fontId="10" fillId="9" borderId="14" xfId="56" applyFill="1" applyBorder="1" applyAlignment="1">
      <alignment vertical="top" wrapText="1"/>
    </xf>
    <xf numFmtId="0" fontId="12" fillId="11" borderId="14" xfId="56" applyFont="1" applyFill="1" applyBorder="1" applyAlignment="1">
      <alignment vertical="top" wrapText="1"/>
    </xf>
    <xf numFmtId="0" fontId="10" fillId="0" borderId="0" xfId="56" applyFill="1" applyAlignment="1">
      <alignment vertical="top" wrapText="1"/>
    </xf>
    <xf numFmtId="0" fontId="25" fillId="0" borderId="0" xfId="56" applyFont="1" applyAlignment="1">
      <alignment vertical="top" wrapText="1"/>
    </xf>
    <xf numFmtId="43" fontId="10" fillId="6" borderId="6" xfId="56" applyNumberFormat="1" applyFill="1" applyBorder="1"/>
    <xf numFmtId="43" fontId="10" fillId="18" borderId="6" xfId="56" applyNumberFormat="1" applyFill="1" applyBorder="1"/>
    <xf numFmtId="10" fontId="10" fillId="0" borderId="0" xfId="60" applyNumberFormat="1" applyFont="1"/>
    <xf numFmtId="43" fontId="10" fillId="20" borderId="6" xfId="56" applyNumberFormat="1" applyFill="1" applyBorder="1"/>
    <xf numFmtId="10" fontId="10" fillId="20" borderId="6" xfId="60" applyNumberFormat="1" applyFont="1" applyFill="1" applyBorder="1"/>
    <xf numFmtId="43" fontId="10" fillId="19" borderId="6" xfId="56" applyNumberFormat="1" applyFill="1" applyBorder="1"/>
    <xf numFmtId="10" fontId="10" fillId="19" borderId="6" xfId="60" applyNumberFormat="1" applyFont="1" applyFill="1" applyBorder="1"/>
    <xf numFmtId="165" fontId="10" fillId="0" borderId="0" xfId="56" applyNumberFormat="1"/>
    <xf numFmtId="0" fontId="33" fillId="8" borderId="6" xfId="56" applyFont="1" applyFill="1" applyBorder="1" applyAlignment="1">
      <alignment wrapText="1"/>
    </xf>
    <xf numFmtId="10" fontId="33" fillId="0" borderId="0" xfId="60" applyNumberFormat="1" applyFont="1"/>
    <xf numFmtId="43" fontId="10" fillId="21" borderId="6" xfId="56" applyNumberFormat="1" applyFill="1" applyBorder="1"/>
    <xf numFmtId="10" fontId="10" fillId="21" borderId="6" xfId="60" applyNumberFormat="1" applyFont="1" applyFill="1" applyBorder="1"/>
    <xf numFmtId="10" fontId="0" fillId="9" borderId="15" xfId="58" applyNumberFormat="1" applyFont="1" applyFill="1" applyBorder="1"/>
    <xf numFmtId="43" fontId="10" fillId="9" borderId="15" xfId="56" applyNumberFormat="1" applyFill="1" applyBorder="1"/>
    <xf numFmtId="43" fontId="10" fillId="18" borderId="15" xfId="56" applyNumberFormat="1" applyFill="1" applyBorder="1"/>
    <xf numFmtId="0" fontId="10" fillId="8" borderId="16" xfId="56" applyFont="1" applyFill="1" applyBorder="1"/>
    <xf numFmtId="43" fontId="0" fillId="10" borderId="16" xfId="57" applyFont="1" applyFill="1" applyBorder="1"/>
    <xf numFmtId="43" fontId="34" fillId="8" borderId="6" xfId="56" applyNumberFormat="1" applyFont="1" applyFill="1" applyBorder="1"/>
    <xf numFmtId="10" fontId="35" fillId="9" borderId="6" xfId="58" applyNumberFormat="1" applyFont="1" applyFill="1" applyBorder="1"/>
    <xf numFmtId="43" fontId="33" fillId="0" borderId="0" xfId="55" applyFont="1"/>
    <xf numFmtId="0" fontId="36" fillId="0" borderId="0" xfId="56" applyFont="1"/>
    <xf numFmtId="166" fontId="10" fillId="9" borderId="6" xfId="56" applyNumberFormat="1" applyFill="1" applyBorder="1"/>
    <xf numFmtId="0" fontId="37" fillId="8" borderId="15" xfId="56" applyFont="1" applyFill="1" applyBorder="1"/>
    <xf numFmtId="0" fontId="21" fillId="8" borderId="4" xfId="56" applyFont="1" applyFill="1" applyBorder="1" applyAlignment="1">
      <alignment horizontal="left" vertical="center"/>
    </xf>
    <xf numFmtId="173" fontId="10" fillId="8" borderId="9" xfId="56" applyNumberFormat="1" applyFill="1" applyBorder="1"/>
    <xf numFmtId="10" fontId="10" fillId="0" borderId="0" xfId="56" applyNumberFormat="1"/>
    <xf numFmtId="20" fontId="10" fillId="0" borderId="0" xfId="56" applyNumberFormat="1"/>
    <xf numFmtId="170" fontId="33" fillId="0" borderId="0" xfId="56" applyNumberFormat="1" applyFont="1"/>
    <xf numFmtId="43" fontId="10" fillId="10" borderId="6" xfId="55" applyFont="1" applyFill="1" applyBorder="1"/>
    <xf numFmtId="0" fontId="11" fillId="5" borderId="0" xfId="56" applyFont="1" applyFill="1" applyAlignment="1" applyProtection="1">
      <alignment vertical="center"/>
      <protection hidden="1"/>
    </xf>
    <xf numFmtId="2" fontId="13" fillId="5" borderId="0" xfId="56" applyNumberFormat="1" applyFont="1" applyFill="1" applyAlignment="1" applyProtection="1">
      <alignment horizontal="center" vertical="center"/>
      <protection hidden="1"/>
    </xf>
    <xf numFmtId="0" fontId="14" fillId="5" borderId="0" xfId="56" applyFont="1" applyFill="1" applyBorder="1" applyAlignment="1" applyProtection="1">
      <alignment horizontal="left" vertical="center"/>
      <protection hidden="1"/>
    </xf>
    <xf numFmtId="0" fontId="15" fillId="5" borderId="0" xfId="56" applyFont="1" applyFill="1" applyAlignment="1" applyProtection="1">
      <alignment vertical="center"/>
      <protection hidden="1"/>
    </xf>
    <xf numFmtId="0" fontId="13" fillId="5" borderId="0" xfId="56" applyFont="1" applyFill="1" applyAlignment="1" applyProtection="1">
      <alignment vertical="center"/>
      <protection hidden="1"/>
    </xf>
    <xf numFmtId="0" fontId="13" fillId="0" borderId="0" xfId="56" applyFont="1" applyAlignment="1" applyProtection="1">
      <alignment vertical="center"/>
      <protection hidden="1"/>
    </xf>
    <xf numFmtId="0" fontId="16" fillId="5" borderId="0" xfId="56" applyFont="1" applyFill="1" applyAlignment="1" applyProtection="1">
      <alignment vertical="center"/>
      <protection hidden="1"/>
    </xf>
    <xf numFmtId="2" fontId="16" fillId="5" borderId="0" xfId="56" applyNumberFormat="1" applyFont="1" applyFill="1" applyAlignment="1" applyProtection="1">
      <alignment horizontal="center" vertical="center"/>
      <protection hidden="1"/>
    </xf>
    <xf numFmtId="2" fontId="17" fillId="5" borderId="0" xfId="56" applyNumberFormat="1" applyFont="1" applyFill="1" applyAlignment="1" applyProtection="1">
      <alignment vertical="center"/>
      <protection hidden="1"/>
    </xf>
    <xf numFmtId="0" fontId="23" fillId="8" borderId="4" xfId="56" applyFont="1" applyFill="1" applyBorder="1" applyAlignment="1" applyProtection="1">
      <alignment horizontal="left" vertical="center" wrapText="1"/>
      <protection hidden="1"/>
    </xf>
    <xf numFmtId="0" fontId="16" fillId="0" borderId="0" xfId="56" applyFont="1" applyAlignment="1" applyProtection="1">
      <alignment vertical="center"/>
      <protection hidden="1"/>
    </xf>
    <xf numFmtId="0" fontId="14" fillId="7" borderId="4" xfId="56" applyFont="1" applyFill="1" applyBorder="1" applyAlignment="1" applyProtection="1">
      <alignment vertical="center"/>
      <protection hidden="1"/>
    </xf>
    <xf numFmtId="2" fontId="16" fillId="7" borderId="0" xfId="56" applyNumberFormat="1" applyFont="1" applyFill="1" applyAlignment="1" applyProtection="1">
      <alignment horizontal="center" vertical="center"/>
      <protection hidden="1"/>
    </xf>
    <xf numFmtId="0" fontId="16" fillId="7" borderId="0" xfId="56" applyFont="1" applyFill="1" applyAlignment="1" applyProtection="1">
      <alignment vertical="center"/>
      <protection hidden="1"/>
    </xf>
    <xf numFmtId="0" fontId="14" fillId="3" borderId="0" xfId="56" applyFont="1" applyFill="1" applyAlignment="1" applyProtection="1">
      <alignment vertical="center"/>
      <protection hidden="1"/>
    </xf>
    <xf numFmtId="43" fontId="14" fillId="3" borderId="0" xfId="55" applyFont="1" applyFill="1" applyAlignment="1" applyProtection="1">
      <alignment vertical="center"/>
      <protection hidden="1"/>
    </xf>
    <xf numFmtId="43" fontId="14" fillId="3" borderId="0" xfId="55" applyNumberFormat="1" applyFont="1" applyFill="1" applyAlignment="1" applyProtection="1">
      <alignment vertical="center"/>
      <protection hidden="1"/>
    </xf>
    <xf numFmtId="0" fontId="16" fillId="5" borderId="0" xfId="56" quotePrefix="1" applyFont="1" applyFill="1" applyAlignment="1" applyProtection="1">
      <alignment vertical="center"/>
      <protection hidden="1"/>
    </xf>
    <xf numFmtId="0" fontId="16" fillId="8" borderId="4" xfId="56" applyFont="1" applyFill="1" applyBorder="1" applyAlignment="1" applyProtection="1">
      <alignment horizontal="left" vertical="center"/>
      <protection hidden="1"/>
    </xf>
    <xf numFmtId="0" fontId="16" fillId="10" borderId="0" xfId="56" applyFont="1" applyFill="1" applyAlignment="1" applyProtection="1">
      <alignment vertical="center"/>
      <protection hidden="1"/>
    </xf>
    <xf numFmtId="43" fontId="16" fillId="9" borderId="5" xfId="57" applyFont="1" applyFill="1" applyBorder="1" applyAlignment="1" applyProtection="1">
      <alignment vertical="center"/>
      <protection locked="0" hidden="1"/>
    </xf>
    <xf numFmtId="0" fontId="17" fillId="5" borderId="0" xfId="56" applyFont="1" applyFill="1" applyAlignment="1" applyProtection="1">
      <alignment vertical="center"/>
      <protection hidden="1"/>
    </xf>
    <xf numFmtId="43" fontId="16" fillId="9" borderId="11" xfId="57" applyFont="1" applyFill="1" applyBorder="1" applyAlignment="1" applyProtection="1">
      <alignment vertical="center"/>
      <protection locked="0" hidden="1"/>
    </xf>
    <xf numFmtId="164" fontId="16" fillId="5" borderId="0" xfId="56" applyNumberFormat="1" applyFont="1" applyFill="1" applyAlignment="1" applyProtection="1">
      <alignment vertical="center"/>
      <protection hidden="1"/>
    </xf>
    <xf numFmtId="0" fontId="10" fillId="5" borderId="0" xfId="56" applyFill="1" applyProtection="1">
      <protection hidden="1"/>
    </xf>
    <xf numFmtId="0" fontId="14" fillId="5" borderId="0" xfId="56" applyFont="1" applyFill="1" applyAlignment="1" applyProtection="1">
      <alignment vertical="center"/>
      <protection hidden="1"/>
    </xf>
    <xf numFmtId="2" fontId="14" fillId="5" borderId="0" xfId="56" applyNumberFormat="1" applyFont="1" applyFill="1" applyAlignment="1" applyProtection="1">
      <alignment horizontal="center" vertical="center"/>
      <protection hidden="1"/>
    </xf>
    <xf numFmtId="0" fontId="16" fillId="5" borderId="0" xfId="56" applyFont="1" applyFill="1" applyBorder="1" applyAlignment="1" applyProtection="1">
      <alignment vertical="center"/>
      <protection hidden="1"/>
    </xf>
    <xf numFmtId="166" fontId="16" fillId="10" borderId="0" xfId="57" applyNumberFormat="1" applyFont="1" applyFill="1" applyBorder="1" applyAlignment="1" applyProtection="1">
      <alignment horizontal="center" vertical="center"/>
      <protection hidden="1"/>
    </xf>
    <xf numFmtId="166" fontId="16" fillId="10" borderId="0" xfId="57" applyNumberFormat="1" applyFont="1" applyFill="1" applyBorder="1" applyAlignment="1" applyProtection="1">
      <alignment horizontal="right" vertical="center"/>
      <protection hidden="1"/>
    </xf>
    <xf numFmtId="9" fontId="16" fillId="5" borderId="0" xfId="58" applyFont="1" applyFill="1" applyAlignment="1" applyProtection="1">
      <alignment vertical="center"/>
      <protection hidden="1"/>
    </xf>
    <xf numFmtId="166" fontId="14" fillId="10" borderId="0" xfId="57" applyNumberFormat="1" applyFont="1" applyFill="1" applyBorder="1" applyAlignment="1" applyProtection="1">
      <alignment horizontal="right" vertical="center"/>
      <protection hidden="1"/>
    </xf>
    <xf numFmtId="2" fontId="16" fillId="5" borderId="0" xfId="56" applyNumberFormat="1" applyFont="1" applyFill="1" applyAlignment="1" applyProtection="1">
      <alignment vertical="center"/>
      <protection hidden="1"/>
    </xf>
    <xf numFmtId="0" fontId="14" fillId="5" borderId="0" xfId="56" applyFont="1" applyFill="1" applyBorder="1" applyAlignment="1" applyProtection="1">
      <alignment vertical="center"/>
      <protection hidden="1"/>
    </xf>
    <xf numFmtId="0" fontId="16" fillId="8" borderId="4" xfId="56" applyFont="1" applyFill="1" applyBorder="1" applyAlignment="1" applyProtection="1">
      <alignment horizontal="left" vertical="center" shrinkToFit="1"/>
      <protection hidden="1"/>
    </xf>
    <xf numFmtId="169" fontId="16" fillId="10" borderId="0" xfId="57" applyNumberFormat="1" applyFont="1" applyFill="1" applyBorder="1" applyAlignment="1" applyProtection="1">
      <alignment horizontal="right" vertical="center"/>
      <protection hidden="1"/>
    </xf>
    <xf numFmtId="0" fontId="16" fillId="11" borderId="4" xfId="56" applyFont="1" applyFill="1" applyBorder="1" applyAlignment="1" applyProtection="1">
      <alignment horizontal="left" vertical="center"/>
      <protection hidden="1"/>
    </xf>
    <xf numFmtId="167" fontId="18" fillId="5" borderId="0" xfId="58" applyNumberFormat="1" applyFont="1" applyFill="1" applyAlignment="1" applyProtection="1">
      <alignment vertical="center"/>
      <protection hidden="1"/>
    </xf>
    <xf numFmtId="0" fontId="21" fillId="5" borderId="0" xfId="56" applyFont="1" applyFill="1" applyAlignment="1" applyProtection="1">
      <alignment vertical="center"/>
      <protection hidden="1"/>
    </xf>
    <xf numFmtId="0" fontId="16" fillId="12" borderId="4" xfId="56" applyFont="1" applyFill="1" applyBorder="1" applyAlignment="1" applyProtection="1">
      <alignment horizontal="left" vertical="center"/>
      <protection hidden="1"/>
    </xf>
    <xf numFmtId="0" fontId="14" fillId="13" borderId="0" xfId="56" applyFont="1" applyFill="1" applyAlignment="1" applyProtection="1">
      <alignment vertical="center"/>
      <protection hidden="1"/>
    </xf>
    <xf numFmtId="168" fontId="14" fillId="13" borderId="0" xfId="57" applyNumberFormat="1" applyFont="1" applyFill="1" applyAlignment="1" applyProtection="1">
      <alignment vertical="center"/>
      <protection hidden="1"/>
    </xf>
    <xf numFmtId="167" fontId="14" fillId="13" borderId="0" xfId="58" applyNumberFormat="1" applyFont="1" applyFill="1" applyAlignment="1" applyProtection="1">
      <alignment horizontal="right" vertical="center"/>
      <protection hidden="1"/>
    </xf>
    <xf numFmtId="168" fontId="16" fillId="14" borderId="0" xfId="57" applyNumberFormat="1" applyFont="1" applyFill="1" applyBorder="1" applyAlignment="1" applyProtection="1">
      <alignment horizontal="right" vertical="center"/>
      <protection hidden="1"/>
    </xf>
    <xf numFmtId="167" fontId="16" fillId="10" borderId="0" xfId="58" applyNumberFormat="1" applyFont="1" applyFill="1" applyAlignment="1" applyProtection="1">
      <alignment vertical="center"/>
      <protection hidden="1"/>
    </xf>
    <xf numFmtId="172" fontId="16" fillId="5" borderId="0" xfId="60" applyNumberFormat="1" applyFont="1" applyFill="1" applyAlignment="1" applyProtection="1">
      <alignment vertical="center"/>
      <protection hidden="1"/>
    </xf>
    <xf numFmtId="0" fontId="14" fillId="15" borderId="0" xfId="56" applyFont="1" applyFill="1" applyBorder="1" applyAlignment="1" applyProtection="1">
      <alignment vertical="center"/>
      <protection hidden="1"/>
    </xf>
    <xf numFmtId="0" fontId="16" fillId="15" borderId="0" xfId="56" applyFont="1" applyFill="1" applyBorder="1" applyAlignment="1" applyProtection="1">
      <alignment horizontal="center" vertical="center"/>
      <protection hidden="1"/>
    </xf>
    <xf numFmtId="0" fontId="14" fillId="5" borderId="0" xfId="56" applyFont="1" applyFill="1" applyAlignment="1" applyProtection="1">
      <alignment horizontal="center" vertical="center"/>
      <protection hidden="1"/>
    </xf>
    <xf numFmtId="0" fontId="14" fillId="11" borderId="0" xfId="56" applyFont="1" applyFill="1" applyBorder="1" applyAlignment="1" applyProtection="1">
      <alignment vertical="center"/>
      <protection hidden="1"/>
    </xf>
    <xf numFmtId="0" fontId="16" fillId="11" borderId="0" xfId="56" applyFont="1" applyFill="1" applyBorder="1" applyAlignment="1" applyProtection="1">
      <alignment horizontal="left" vertical="center"/>
      <protection hidden="1"/>
    </xf>
    <xf numFmtId="1" fontId="16" fillId="11" borderId="0" xfId="56" applyNumberFormat="1" applyFont="1" applyFill="1" applyBorder="1" applyAlignment="1" applyProtection="1">
      <alignment horizontal="center" vertical="center"/>
      <protection hidden="1"/>
    </xf>
    <xf numFmtId="0" fontId="16" fillId="9" borderId="5" xfId="0" applyFont="1" applyFill="1" applyBorder="1" applyAlignment="1" applyProtection="1">
      <alignment horizontal="left" vertical="center" shrinkToFit="1"/>
      <protection locked="0" hidden="1"/>
    </xf>
    <xf numFmtId="43" fontId="16" fillId="9" borderId="5" xfId="57" applyNumberFormat="1" applyFont="1" applyFill="1" applyBorder="1" applyAlignment="1" applyProtection="1">
      <alignment horizontal="right" vertical="center"/>
      <protection locked="0" hidden="1"/>
    </xf>
    <xf numFmtId="43" fontId="16" fillId="9" borderId="5" xfId="57" applyFont="1" applyFill="1" applyBorder="1" applyAlignment="1" applyProtection="1">
      <alignment horizontal="left" vertical="center"/>
      <protection locked="0" hidden="1"/>
    </xf>
    <xf numFmtId="166" fontId="17" fillId="5" borderId="0" xfId="57" applyNumberFormat="1" applyFont="1" applyFill="1" applyAlignment="1" applyProtection="1">
      <alignment vertical="center"/>
      <protection hidden="1"/>
    </xf>
    <xf numFmtId="43" fontId="16" fillId="9" borderId="5" xfId="57" applyNumberFormat="1" applyFont="1" applyFill="1" applyBorder="1" applyAlignment="1" applyProtection="1">
      <alignment horizontal="center" vertical="center"/>
      <protection locked="0" hidden="1"/>
    </xf>
    <xf numFmtId="0" fontId="16" fillId="11" borderId="0" xfId="56" applyFont="1" applyFill="1" applyBorder="1" applyAlignment="1" applyProtection="1">
      <alignment vertical="center"/>
      <protection hidden="1"/>
    </xf>
    <xf numFmtId="43" fontId="16" fillId="11" borderId="0" xfId="57" applyFont="1" applyFill="1" applyBorder="1" applyAlignment="1" applyProtection="1">
      <alignment horizontal="right" vertical="center"/>
      <protection hidden="1"/>
    </xf>
    <xf numFmtId="167" fontId="16" fillId="11" borderId="0" xfId="58" applyNumberFormat="1" applyFont="1" applyFill="1" applyBorder="1" applyAlignment="1" applyProtection="1">
      <alignment horizontal="left" vertical="center"/>
      <protection hidden="1"/>
    </xf>
    <xf numFmtId="0" fontId="16" fillId="5" borderId="0" xfId="56" applyFont="1" applyFill="1" applyBorder="1" applyAlignment="1" applyProtection="1">
      <alignment horizontal="center" vertical="center"/>
      <protection hidden="1"/>
    </xf>
    <xf numFmtId="1" fontId="14" fillId="11" borderId="0" xfId="56" applyNumberFormat="1" applyFont="1" applyFill="1" applyBorder="1" applyAlignment="1" applyProtection="1">
      <alignment horizontal="center" vertical="center"/>
      <protection hidden="1"/>
    </xf>
    <xf numFmtId="0" fontId="16" fillId="9" borderId="5" xfId="56" applyFont="1" applyFill="1" applyBorder="1" applyAlignment="1" applyProtection="1">
      <alignment horizontal="left" vertical="center" shrinkToFit="1"/>
      <protection locked="0" hidden="1"/>
    </xf>
    <xf numFmtId="166" fontId="19" fillId="5" borderId="0" xfId="57" applyNumberFormat="1" applyFont="1" applyFill="1" applyAlignment="1" applyProtection="1">
      <alignment vertical="center"/>
      <protection hidden="1"/>
    </xf>
    <xf numFmtId="1" fontId="16" fillId="5" borderId="0" xfId="56" applyNumberFormat="1" applyFont="1" applyFill="1" applyBorder="1" applyAlignment="1" applyProtection="1">
      <alignment horizontal="center" vertical="center"/>
      <protection hidden="1"/>
    </xf>
    <xf numFmtId="166" fontId="14" fillId="11" borderId="0" xfId="56" applyNumberFormat="1" applyFont="1" applyFill="1" applyBorder="1" applyAlignment="1" applyProtection="1">
      <alignment horizontal="center" vertical="center"/>
      <protection hidden="1"/>
    </xf>
    <xf numFmtId="167" fontId="16" fillId="11" borderId="0" xfId="58" applyNumberFormat="1" applyFont="1" applyFill="1" applyBorder="1" applyAlignment="1" applyProtection="1">
      <alignment horizontal="right" vertical="center"/>
      <protection hidden="1"/>
    </xf>
    <xf numFmtId="0" fontId="20" fillId="5" borderId="0" xfId="56" applyFont="1" applyFill="1" applyAlignment="1" applyProtection="1">
      <alignment vertical="center"/>
      <protection hidden="1"/>
    </xf>
    <xf numFmtId="0" fontId="14" fillId="0" borderId="0" xfId="56" applyFont="1" applyAlignment="1" applyProtection="1">
      <alignment vertical="center"/>
      <protection hidden="1"/>
    </xf>
    <xf numFmtId="0" fontId="14" fillId="16" borderId="0" xfId="56" applyFont="1" applyFill="1" applyBorder="1" applyAlignment="1" applyProtection="1">
      <alignment vertical="center"/>
      <protection hidden="1"/>
    </xf>
    <xf numFmtId="0" fontId="16" fillId="16" borderId="0" xfId="56" applyFont="1" applyFill="1" applyBorder="1" applyAlignment="1" applyProtection="1">
      <alignment horizontal="center" vertical="center"/>
      <protection hidden="1"/>
    </xf>
    <xf numFmtId="1" fontId="14" fillId="16" borderId="0" xfId="56" applyNumberFormat="1" applyFont="1" applyFill="1" applyBorder="1" applyAlignment="1" applyProtection="1">
      <alignment horizontal="center" vertical="center"/>
      <protection hidden="1"/>
    </xf>
    <xf numFmtId="0" fontId="14" fillId="12" borderId="0" xfId="56" applyFont="1" applyFill="1" applyBorder="1" applyAlignment="1" applyProtection="1">
      <alignment vertical="center"/>
      <protection hidden="1"/>
    </xf>
    <xf numFmtId="0" fontId="16" fillId="12" borderId="0" xfId="56" applyFont="1" applyFill="1" applyBorder="1" applyAlignment="1" applyProtection="1">
      <alignment horizontal="center" vertical="center"/>
      <protection hidden="1"/>
    </xf>
    <xf numFmtId="1" fontId="16" fillId="12" borderId="0" xfId="56" applyNumberFormat="1" applyFont="1" applyFill="1" applyBorder="1" applyAlignment="1" applyProtection="1">
      <alignment horizontal="center" vertical="center"/>
      <protection hidden="1"/>
    </xf>
    <xf numFmtId="43" fontId="16" fillId="12" borderId="0" xfId="57" applyFont="1" applyFill="1" applyBorder="1" applyAlignment="1" applyProtection="1">
      <alignment horizontal="right" vertical="center"/>
      <protection hidden="1"/>
    </xf>
    <xf numFmtId="0" fontId="30" fillId="5" borderId="0" xfId="56" quotePrefix="1" applyFont="1" applyFill="1" applyAlignment="1" applyProtection="1">
      <alignment vertical="center"/>
      <protection hidden="1"/>
    </xf>
    <xf numFmtId="0" fontId="16" fillId="12" borderId="0" xfId="56" applyFont="1" applyFill="1" applyAlignment="1" applyProtection="1">
      <alignment horizontal="right" vertical="center"/>
      <protection hidden="1"/>
    </xf>
    <xf numFmtId="43" fontId="14" fillId="16" borderId="0" xfId="57" applyFont="1" applyFill="1" applyBorder="1" applyAlignment="1" applyProtection="1">
      <alignment horizontal="right" vertical="center"/>
      <protection hidden="1"/>
    </xf>
    <xf numFmtId="167" fontId="14" fillId="16" borderId="0" xfId="58" applyNumberFormat="1" applyFont="1" applyFill="1" applyBorder="1" applyAlignment="1" applyProtection="1">
      <alignment horizontal="right" vertical="center"/>
      <protection hidden="1"/>
    </xf>
    <xf numFmtId="0" fontId="22" fillId="5" borderId="0" xfId="56" applyFont="1" applyFill="1" applyAlignment="1" applyProtection="1">
      <alignment vertical="center"/>
      <protection hidden="1"/>
    </xf>
    <xf numFmtId="167" fontId="29" fillId="5" borderId="0" xfId="56" applyNumberFormat="1" applyFont="1" applyFill="1" applyAlignment="1" applyProtection="1">
      <alignment horizontal="right" vertical="center"/>
      <protection hidden="1"/>
    </xf>
    <xf numFmtId="0" fontId="14" fillId="17" borderId="0" xfId="56" applyFont="1" applyFill="1" applyBorder="1" applyAlignment="1" applyProtection="1">
      <alignment vertical="center"/>
      <protection hidden="1"/>
    </xf>
    <xf numFmtId="43" fontId="14" fillId="17" borderId="0" xfId="57" applyFont="1" applyFill="1" applyBorder="1" applyAlignment="1" applyProtection="1">
      <alignment horizontal="right" vertical="center"/>
      <protection hidden="1"/>
    </xf>
    <xf numFmtId="167" fontId="16" fillId="17" borderId="0" xfId="58" applyNumberFormat="1" applyFont="1" applyFill="1" applyBorder="1" applyAlignment="1" applyProtection="1">
      <alignment horizontal="right" vertical="center"/>
      <protection hidden="1"/>
    </xf>
    <xf numFmtId="0" fontId="15" fillId="5" borderId="0" xfId="56" applyFont="1" applyFill="1" applyProtection="1">
      <protection hidden="1"/>
    </xf>
    <xf numFmtId="0" fontId="14" fillId="5" borderId="7" xfId="56" applyFont="1" applyFill="1" applyBorder="1" applyAlignment="1" applyProtection="1">
      <alignment vertical="center"/>
      <protection hidden="1"/>
    </xf>
    <xf numFmtId="0" fontId="16" fillId="5" borderId="2" xfId="56" applyFont="1" applyFill="1" applyBorder="1" applyAlignment="1" applyProtection="1">
      <alignment vertical="center"/>
      <protection hidden="1"/>
    </xf>
    <xf numFmtId="0" fontId="16" fillId="5" borderId="3" xfId="56" applyFont="1" applyFill="1" applyBorder="1" applyAlignment="1" applyProtection="1">
      <alignment vertical="center"/>
      <protection locked="0" hidden="1"/>
    </xf>
    <xf numFmtId="0" fontId="16" fillId="5" borderId="0" xfId="56" applyFont="1" applyFill="1" applyBorder="1" applyAlignment="1" applyProtection="1">
      <alignment vertical="center"/>
      <protection locked="0" hidden="1"/>
    </xf>
    <xf numFmtId="0" fontId="16" fillId="5" borderId="8" xfId="56" applyFont="1" applyFill="1" applyBorder="1" applyAlignment="1" applyProtection="1">
      <alignment vertical="center"/>
      <protection locked="0" hidden="1"/>
    </xf>
    <xf numFmtId="0" fontId="16" fillId="5" borderId="1" xfId="56" applyFont="1" applyFill="1" applyBorder="1" applyAlignment="1" applyProtection="1">
      <alignment vertical="center"/>
      <protection locked="0" hidden="1"/>
    </xf>
    <xf numFmtId="0" fontId="15" fillId="0" borderId="0" xfId="56" applyFont="1" applyAlignment="1" applyProtection="1">
      <alignment vertical="center"/>
      <protection hidden="1"/>
    </xf>
    <xf numFmtId="0" fontId="13" fillId="0" borderId="0" xfId="56" applyFont="1" applyProtection="1">
      <protection hidden="1"/>
    </xf>
    <xf numFmtId="2" fontId="13" fillId="0" borderId="0" xfId="56" applyNumberFormat="1" applyFont="1" applyAlignment="1" applyProtection="1">
      <alignment horizontal="center"/>
      <protection hidden="1"/>
    </xf>
    <xf numFmtId="2" fontId="15" fillId="0" borderId="0" xfId="56" applyNumberFormat="1" applyFont="1" applyProtection="1">
      <protection hidden="1"/>
    </xf>
    <xf numFmtId="0" fontId="16" fillId="10" borderId="17" xfId="56" applyFont="1" applyFill="1" applyBorder="1" applyAlignment="1" applyProtection="1">
      <alignment horizontal="left" vertical="center" shrinkToFit="1"/>
      <protection hidden="1"/>
    </xf>
    <xf numFmtId="43" fontId="16" fillId="10" borderId="17" xfId="57" applyNumberFormat="1" applyFont="1" applyFill="1" applyBorder="1" applyAlignment="1" applyProtection="1">
      <alignment horizontal="right" vertical="center"/>
      <protection hidden="1"/>
    </xf>
    <xf numFmtId="43" fontId="16" fillId="10" borderId="17" xfId="57" applyFont="1" applyFill="1" applyBorder="1" applyAlignment="1" applyProtection="1">
      <alignment horizontal="left" vertical="center"/>
      <protection hidden="1"/>
    </xf>
    <xf numFmtId="0" fontId="0" fillId="11" borderId="14" xfId="0" applyFill="1" applyBorder="1"/>
    <xf numFmtId="0" fontId="3" fillId="11" borderId="20" xfId="0" applyFont="1" applyFill="1" applyBorder="1" applyAlignment="1">
      <alignment wrapText="1"/>
    </xf>
    <xf numFmtId="166" fontId="3" fillId="8" borderId="21" xfId="55" applyNumberFormat="1" applyFont="1" applyFill="1" applyBorder="1"/>
    <xf numFmtId="0" fontId="0" fillId="8" borderId="22" xfId="0" applyFill="1" applyBorder="1"/>
    <xf numFmtId="0" fontId="0" fillId="8" borderId="23" xfId="0" applyFill="1" applyBorder="1"/>
    <xf numFmtId="0" fontId="0" fillId="8" borderId="24" xfId="0" applyFill="1" applyBorder="1"/>
    <xf numFmtId="0" fontId="28" fillId="11" borderId="20" xfId="59" applyFill="1" applyBorder="1" applyAlignment="1">
      <alignment wrapText="1"/>
    </xf>
    <xf numFmtId="0" fontId="0" fillId="11" borderId="20" xfId="0" applyFont="1" applyFill="1" applyBorder="1" applyAlignment="1">
      <alignment wrapText="1"/>
    </xf>
    <xf numFmtId="0" fontId="0" fillId="11" borderId="20" xfId="0" applyFill="1" applyBorder="1" applyAlignment="1">
      <alignment wrapText="1"/>
    </xf>
    <xf numFmtId="0" fontId="0" fillId="8" borderId="19" xfId="0" applyFill="1" applyBorder="1"/>
    <xf numFmtId="14" fontId="0" fillId="8" borderId="22" xfId="0" applyNumberFormat="1" applyFill="1" applyBorder="1"/>
    <xf numFmtId="14" fontId="0" fillId="8" borderId="23" xfId="0" applyNumberFormat="1" applyFill="1" applyBorder="1"/>
    <xf numFmtId="14" fontId="0" fillId="8" borderId="24" xfId="0" applyNumberFormat="1" applyFill="1" applyBorder="1"/>
    <xf numFmtId="0" fontId="0" fillId="9" borderId="14" xfId="0" applyFill="1" applyBorder="1"/>
    <xf numFmtId="0" fontId="0" fillId="9" borderId="20" xfId="0" applyFill="1" applyBorder="1" applyAlignment="1">
      <alignment wrapText="1"/>
    </xf>
    <xf numFmtId="0" fontId="0" fillId="9" borderId="25" xfId="0" applyFont="1" applyFill="1" applyBorder="1"/>
    <xf numFmtId="0" fontId="0" fillId="9" borderId="14" xfId="0" applyFont="1" applyFill="1" applyBorder="1"/>
    <xf numFmtId="0" fontId="16" fillId="9" borderId="14" xfId="0" applyFont="1" applyFill="1" applyBorder="1"/>
    <xf numFmtId="0" fontId="0" fillId="11" borderId="25" xfId="0" applyFill="1" applyBorder="1"/>
    <xf numFmtId="16" fontId="0" fillId="11" borderId="25" xfId="0" applyNumberFormat="1" applyFill="1" applyBorder="1"/>
    <xf numFmtId="0" fontId="0" fillId="9" borderId="20" xfId="0" applyFont="1" applyFill="1" applyBorder="1" applyAlignment="1">
      <alignment wrapText="1"/>
    </xf>
    <xf numFmtId="14" fontId="0" fillId="8" borderId="22" xfId="0" applyNumberFormat="1" applyFont="1" applyFill="1" applyBorder="1"/>
    <xf numFmtId="14" fontId="0" fillId="8" borderId="23" xfId="0" applyNumberFormat="1" applyFont="1" applyFill="1" applyBorder="1"/>
    <xf numFmtId="173" fontId="10" fillId="0" borderId="0" xfId="56" applyNumberFormat="1"/>
    <xf numFmtId="0" fontId="0" fillId="8" borderId="18" xfId="0" applyFill="1" applyBorder="1"/>
    <xf numFmtId="166" fontId="39" fillId="8" borderId="18" xfId="55" applyNumberFormat="1" applyFont="1" applyFill="1" applyBorder="1"/>
    <xf numFmtId="14" fontId="0" fillId="0" borderId="26" xfId="0" applyNumberFormat="1" applyBorder="1"/>
    <xf numFmtId="14" fontId="0" fillId="0" borderId="18" xfId="0" applyNumberFormat="1" applyBorder="1"/>
    <xf numFmtId="2" fontId="10" fillId="0" borderId="0" xfId="56" applyNumberFormat="1"/>
    <xf numFmtId="0" fontId="40" fillId="11" borderId="9" xfId="0" applyFont="1" applyFill="1" applyBorder="1" applyAlignment="1">
      <alignment wrapText="1"/>
    </xf>
    <xf numFmtId="166" fontId="39" fillId="14" borderId="20" xfId="55" applyNumberFormat="1" applyFont="1" applyFill="1" applyBorder="1"/>
    <xf numFmtId="2" fontId="0" fillId="14" borderId="27" xfId="0" applyNumberFormat="1" applyFill="1" applyBorder="1"/>
    <xf numFmtId="0" fontId="16" fillId="12" borderId="4" xfId="56" applyFont="1" applyFill="1" applyBorder="1" applyAlignment="1" applyProtection="1">
      <alignment horizontal="left" vertical="center" shrinkToFit="1"/>
      <protection hidden="1"/>
    </xf>
    <xf numFmtId="9" fontId="16" fillId="0" borderId="0" xfId="56" applyNumberFormat="1" applyFont="1" applyAlignment="1" applyProtection="1">
      <alignment vertical="center"/>
      <protection hidden="1"/>
    </xf>
    <xf numFmtId="0" fontId="10" fillId="9" borderId="9" xfId="56" applyFont="1" applyFill="1" applyBorder="1" applyAlignment="1">
      <alignment vertical="top" wrapText="1"/>
    </xf>
    <xf numFmtId="14" fontId="16" fillId="0" borderId="0" xfId="56" applyNumberFormat="1" applyFont="1" applyAlignment="1" applyProtection="1">
      <alignment vertical="center"/>
      <protection hidden="1"/>
    </xf>
    <xf numFmtId="166" fontId="16" fillId="10" borderId="0" xfId="61" applyNumberFormat="1" applyFont="1" applyFill="1" applyBorder="1" applyAlignment="1" applyProtection="1">
      <alignment horizontal="right" vertical="center"/>
    </xf>
    <xf numFmtId="14" fontId="0" fillId="8" borderId="28" xfId="0" applyNumberFormat="1" applyFont="1" applyFill="1" applyBorder="1"/>
    <xf numFmtId="174" fontId="0" fillId="0" borderId="0" xfId="0" applyNumberFormat="1"/>
    <xf numFmtId="0" fontId="0" fillId="22" borderId="25" xfId="0" applyFill="1" applyBorder="1"/>
    <xf numFmtId="0" fontId="24" fillId="23" borderId="0" xfId="56" applyFont="1" applyFill="1"/>
    <xf numFmtId="0" fontId="10" fillId="22" borderId="0" xfId="56" applyFill="1"/>
    <xf numFmtId="0" fontId="24" fillId="23" borderId="6" xfId="56" applyFont="1" applyFill="1" applyBorder="1"/>
    <xf numFmtId="164" fontId="24" fillId="23" borderId="6" xfId="56" applyNumberFormat="1" applyFont="1" applyFill="1" applyBorder="1"/>
    <xf numFmtId="0" fontId="10" fillId="22" borderId="6" xfId="56" applyFill="1" applyBorder="1"/>
    <xf numFmtId="0" fontId="10" fillId="4" borderId="6" xfId="56" applyFill="1" applyBorder="1"/>
    <xf numFmtId="0" fontId="31" fillId="4" borderId="6" xfId="56" applyFont="1" applyFill="1" applyBorder="1"/>
    <xf numFmtId="2" fontId="10" fillId="4" borderId="6" xfId="56" applyNumberFormat="1" applyFill="1" applyBorder="1"/>
    <xf numFmtId="166" fontId="31" fillId="4" borderId="6" xfId="55" applyNumberFormat="1" applyFont="1" applyFill="1" applyBorder="1"/>
    <xf numFmtId="174" fontId="10" fillId="4" borderId="6" xfId="56" applyNumberFormat="1" applyFill="1" applyBorder="1"/>
    <xf numFmtId="43" fontId="31" fillId="4" borderId="6" xfId="55" applyFont="1" applyFill="1" applyBorder="1"/>
    <xf numFmtId="0" fontId="10" fillId="23" borderId="6" xfId="56" applyFill="1" applyBorder="1"/>
    <xf numFmtId="166" fontId="10" fillId="22" borderId="6" xfId="56" applyNumberFormat="1" applyFill="1" applyBorder="1"/>
    <xf numFmtId="2" fontId="10" fillId="22" borderId="6" xfId="56" applyNumberFormat="1" applyFill="1" applyBorder="1"/>
    <xf numFmtId="0" fontId="24" fillId="4" borderId="6" xfId="56" applyFont="1" applyFill="1" applyBorder="1"/>
    <xf numFmtId="2" fontId="24" fillId="22" borderId="6" xfId="56" applyNumberFormat="1" applyFont="1" applyFill="1" applyBorder="1"/>
    <xf numFmtId="0" fontId="10" fillId="22" borderId="0" xfId="56" applyFill="1" applyBorder="1"/>
    <xf numFmtId="0" fontId="10" fillId="22" borderId="29" xfId="56" applyFill="1" applyBorder="1"/>
    <xf numFmtId="166" fontId="39" fillId="5" borderId="18" xfId="55" applyNumberFormat="1" applyFont="1" applyFill="1" applyBorder="1"/>
    <xf numFmtId="0" fontId="10" fillId="8" borderId="6" xfId="56" applyFont="1" applyFill="1" applyBorder="1" applyAlignment="1">
      <alignment wrapText="1"/>
    </xf>
    <xf numFmtId="0" fontId="30" fillId="5" borderId="0" xfId="56" applyFont="1" applyFill="1" applyAlignment="1" applyProtection="1">
      <alignment vertical="center"/>
      <protection hidden="1"/>
    </xf>
    <xf numFmtId="0" fontId="17" fillId="11" borderId="9" xfId="56" applyFont="1" applyFill="1" applyBorder="1" applyAlignment="1">
      <alignment horizontal="center"/>
    </xf>
    <xf numFmtId="0" fontId="17" fillId="11" borderId="14" xfId="56" applyFont="1" applyFill="1" applyBorder="1" applyAlignment="1">
      <alignment horizontal="center" vertical="center" wrapText="1"/>
    </xf>
    <xf numFmtId="0" fontId="10" fillId="15" borderId="0" xfId="56" applyFill="1" applyAlignment="1">
      <alignment horizontal="center" textRotation="90"/>
    </xf>
    <xf numFmtId="0" fontId="24" fillId="0" borderId="0" xfId="56" applyFont="1" applyBorder="1" applyAlignment="1">
      <alignment horizontal="center" wrapText="1"/>
    </xf>
    <xf numFmtId="0" fontId="40" fillId="11" borderId="14" xfId="0" applyFont="1" applyFill="1" applyBorder="1" applyAlignment="1">
      <alignment horizontal="center" wrapText="1"/>
    </xf>
    <xf numFmtId="0" fontId="40" fillId="11" borderId="19" xfId="0" applyFont="1" applyFill="1" applyBorder="1" applyAlignment="1">
      <alignment horizontal="center" wrapText="1"/>
    </xf>
    <xf numFmtId="14" fontId="16" fillId="9" borderId="5" xfId="56" applyNumberFormat="1" applyFont="1" applyFill="1" applyBorder="1" applyAlignment="1" applyProtection="1">
      <alignment horizontal="center" vertical="center"/>
      <protection locked="0" hidden="1"/>
    </xf>
    <xf numFmtId="2" fontId="16" fillId="9" borderId="5" xfId="56" applyNumberFormat="1" applyFont="1" applyFill="1" applyBorder="1" applyAlignment="1" applyProtection="1">
      <alignment horizontal="center" vertical="center" shrinkToFit="1"/>
      <protection locked="0" hidden="1"/>
    </xf>
    <xf numFmtId="2" fontId="16" fillId="9" borderId="10" xfId="56" applyNumberFormat="1" applyFont="1" applyFill="1" applyBorder="1" applyAlignment="1" applyProtection="1">
      <alignment horizontal="center" vertical="center" shrinkToFit="1"/>
      <protection locked="0" hidden="1"/>
    </xf>
    <xf numFmtId="0" fontId="16" fillId="10" borderId="13" xfId="56" applyNumberFormat="1" applyFont="1" applyFill="1" applyBorder="1" applyAlignment="1" applyProtection="1">
      <alignment horizontal="center" vertical="center"/>
      <protection hidden="1"/>
    </xf>
    <xf numFmtId="0" fontId="16" fillId="10" borderId="12" xfId="56" applyNumberFormat="1" applyFont="1" applyFill="1" applyBorder="1" applyAlignment="1" applyProtection="1">
      <alignment horizontal="center" vertical="center"/>
      <protection hidden="1"/>
    </xf>
    <xf numFmtId="2" fontId="16" fillId="9" borderId="5" xfId="56" applyNumberFormat="1" applyFont="1" applyFill="1" applyBorder="1" applyAlignment="1" applyProtection="1">
      <alignment horizontal="center" vertical="center"/>
      <protection locked="0" hidden="1"/>
    </xf>
  </cellXfs>
  <cellStyles count="65">
    <cellStyle name="Besuchter Hyperlink" xfId="2" builtinId="9" hidden="1"/>
    <cellStyle name="Besuchter Hyperlink" xfId="5" builtinId="9" hidden="1"/>
    <cellStyle name="Besuchter Hyperlink" xfId="36" builtinId="9" hidden="1"/>
    <cellStyle name="Besuchter Hyperlink" xfId="38" builtinId="9" hidden="1"/>
    <cellStyle name="Besuchter Hyperlink" xfId="42" builtinId="9" hidden="1"/>
    <cellStyle name="Besuchter Hyperlink" xfId="46" builtinId="9" hidden="1"/>
    <cellStyle name="Besuchter Hyperlink" xfId="50" builtinId="9" hidden="1"/>
    <cellStyle name="Besuchter Hyperlink" xfId="48" builtinId="9" hidden="1"/>
    <cellStyle name="Besuchter Hyperlink" xfId="32" builtinId="9" hidden="1"/>
    <cellStyle name="Besuchter Hyperlink" xfId="24" builtinId="9" hidden="1"/>
    <cellStyle name="Besuchter Hyperlink" xfId="16" builtinId="9" hidden="1"/>
    <cellStyle name="Besuchter Hyperlink" xfId="10" builtinId="9" hidden="1"/>
    <cellStyle name="Besuchter Hyperlink" xfId="12" builtinId="9" hidden="1"/>
    <cellStyle name="Besuchter Hyperlink" xfId="14" builtinId="9" hidden="1"/>
    <cellStyle name="Besuchter Hyperlink" xfId="4" builtinId="9" hidden="1"/>
    <cellStyle name="Besuchter Hyperlink" xfId="8" builtinId="9" hidden="1"/>
    <cellStyle name="Besuchter Hyperlink" xfId="6" builtinId="9" hidden="1"/>
    <cellStyle name="Besuchter Hyperlink" xfId="40" builtinId="9" hidden="1"/>
    <cellStyle name="Besuchter Hyperlink" xfId="44" builtinId="9" hidden="1"/>
    <cellStyle name="Besuchter Hyperlink" xfId="34" builtinId="9" hidden="1"/>
    <cellStyle name="Besuchter Hyperlink" xfId="20" builtinId="9" hidden="1"/>
    <cellStyle name="Besuchter Hyperlink" xfId="26" builtinId="9" hidden="1"/>
    <cellStyle name="Besuchter Hyperlink" xfId="28" builtinId="9" hidden="1"/>
    <cellStyle name="Besuchter Hyperlink" xfId="30" builtinId="9" hidden="1"/>
    <cellStyle name="Besuchter Hyperlink" xfId="22" builtinId="9" hidden="1"/>
    <cellStyle name="Besuchter Hyperlink" xfId="52" builtinId="9" hidden="1"/>
    <cellStyle name="Besuchter Hyperlink" xfId="18" builtinId="9" hidden="1"/>
    <cellStyle name="Besuchter Hyperlink" xfId="54" builtinId="9" hidden="1"/>
    <cellStyle name="Komma" xfId="55" builtinId="3"/>
    <cellStyle name="Komma 2" xfId="57" xr:uid="{00000000-0005-0000-0000-00001D000000}"/>
    <cellStyle name="Komma 2 2" xfId="61" xr:uid="{00000000-0005-0000-0000-00001E000000}"/>
    <cellStyle name="Link" xfId="17" builtinId="8" hidden="1"/>
    <cellStyle name="Link" xfId="7" builtinId="8" hidden="1"/>
    <cellStyle name="Link" xfId="9" builtinId="8" hidden="1"/>
    <cellStyle name="Link" xfId="1" builtinId="8" hidden="1"/>
    <cellStyle name="Link" xfId="3" builtinId="8" hidden="1"/>
    <cellStyle name="Link" xfId="15" builtinId="8" hidden="1"/>
    <cellStyle name="Link" xfId="27" builtinId="8" hidden="1"/>
    <cellStyle name="Link" xfId="29" builtinId="8" hidden="1"/>
    <cellStyle name="Link" xfId="31" builtinId="8" hidden="1"/>
    <cellStyle name="Link" xfId="33" builtinId="8" hidden="1"/>
    <cellStyle name="Link" xfId="37" builtinId="8" hidden="1"/>
    <cellStyle name="Link" xfId="39" builtinId="8" hidden="1"/>
    <cellStyle name="Link" xfId="41" builtinId="8" hidden="1"/>
    <cellStyle name="Link" xfId="19" builtinId="8" hidden="1"/>
    <cellStyle name="Link" xfId="11" builtinId="8" hidden="1"/>
    <cellStyle name="Link" xfId="13" builtinId="8" hidden="1"/>
    <cellStyle name="Link" xfId="35" builtinId="8" hidden="1"/>
    <cellStyle name="Link" xfId="25" builtinId="8" hidden="1"/>
    <cellStyle name="Link" xfId="51" builtinId="8" hidden="1"/>
    <cellStyle name="Link" xfId="43" builtinId="8" hidden="1"/>
    <cellStyle name="Link" xfId="21" builtinId="8" hidden="1"/>
    <cellStyle name="Link" xfId="23" builtinId="8" hidden="1"/>
    <cellStyle name="Link" xfId="49" builtinId="8" hidden="1"/>
    <cellStyle name="Link" xfId="53" builtinId="8" hidden="1"/>
    <cellStyle name="Link" xfId="47" builtinId="8" hidden="1"/>
    <cellStyle name="Link" xfId="45" builtinId="8" hidden="1"/>
    <cellStyle name="Link" xfId="59" builtinId="8"/>
    <cellStyle name="Prozent" xfId="60" builtinId="5"/>
    <cellStyle name="Prozent 2" xfId="58" xr:uid="{00000000-0005-0000-0000-00003B000000}"/>
    <cellStyle name="Prozent 2 2" xfId="62" xr:uid="{00000000-0005-0000-0000-00003C000000}"/>
    <cellStyle name="Standard" xfId="0" builtinId="0"/>
    <cellStyle name="Standard 2" xfId="56" xr:uid="{00000000-0005-0000-0000-00003E000000}"/>
    <cellStyle name="Standard 3" xfId="63" xr:uid="{00000000-0005-0000-0000-00003F000000}"/>
    <cellStyle name="Standard 3 2" xfId="64" xr:uid="{00000000-0005-0000-0000-000040000000}"/>
  </cellStyles>
  <dxfs count="36"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rgb="FF00B050"/>
      </font>
    </dxf>
    <dxf>
      <font>
        <color theme="0" tint="-0.34998626667073579"/>
      </font>
    </dxf>
    <dxf>
      <font>
        <color theme="6" tint="0.59996337778862885"/>
      </font>
    </dxf>
    <dxf>
      <font>
        <color theme="6" tint="0.59996337778862885"/>
      </font>
    </dxf>
    <dxf>
      <font>
        <color theme="0" tint="-0.34998626667073579"/>
      </font>
    </dxf>
    <dxf>
      <font>
        <color theme="0" tint="-0.34998626667073579"/>
      </font>
    </dxf>
    <dxf>
      <font>
        <color auto="1"/>
      </font>
      <fill>
        <patternFill>
          <bgColor theme="0"/>
        </patternFill>
      </fill>
      <border>
        <left/>
        <right/>
        <bottom/>
        <vertical/>
        <horizontal/>
      </border>
    </dxf>
    <dxf>
      <font>
        <color auto="1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ill>
        <patternFill>
          <bgColor theme="5" tint="0.39994506668294322"/>
        </patternFill>
      </fill>
    </dxf>
    <dxf>
      <font>
        <color theme="0" tint="-0.34998626667073579"/>
      </font>
    </dxf>
    <dxf>
      <font>
        <color theme="0" tint="-0.34998626667073579"/>
      </font>
    </dxf>
    <dxf>
      <font>
        <color theme="0" tint="-0.34998626667073579"/>
      </font>
    </dxf>
    <dxf>
      <font>
        <color theme="6" tint="0.59996337778862885"/>
      </font>
    </dxf>
    <dxf>
      <font>
        <color auto="1"/>
      </font>
      <fill>
        <patternFill>
          <bgColor theme="0"/>
        </patternFill>
      </fill>
      <border>
        <left/>
        <right/>
        <bottom/>
        <vertical/>
        <horizontal/>
      </border>
    </dxf>
    <dxf>
      <font>
        <color auto="1"/>
      </font>
      <fill>
        <patternFill>
          <bgColor theme="0"/>
        </patternFill>
      </fill>
      <border>
        <left/>
        <right/>
        <bottom/>
        <vertical/>
        <horizontal/>
      </border>
    </dxf>
    <dxf>
      <font>
        <color auto="1"/>
      </font>
      <fill>
        <patternFill>
          <bgColor theme="0"/>
        </patternFill>
      </fill>
      <border>
        <left/>
        <right/>
        <top/>
        <bottom/>
        <vertical/>
        <horizontal/>
      </border>
    </dxf>
    <dxf>
      <font>
        <color theme="0" tint="-0.34998626667073579"/>
      </font>
    </dxf>
    <dxf>
      <font>
        <color theme="0" tint="-0.34998626667073579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6" tint="0.59996337778862885"/>
      </font>
    </dxf>
    <dxf>
      <font>
        <color theme="0" tint="-0.34998626667073579"/>
      </font>
    </dxf>
    <dxf>
      <font>
        <color theme="0" tint="-0.34998626667073579"/>
      </font>
    </dxf>
    <dxf>
      <fill>
        <patternFill>
          <bgColor theme="5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5" tint="0.59996337778862885"/>
        </patternFill>
      </fill>
    </dxf>
    <dxf>
      <numFmt numFmtId="175" formatCode="&quot;DD.MM.JJJJ&quot;"/>
    </dxf>
  </dxfs>
  <tableStyles count="0" defaultTableStyle="TableStyleMedium9" defaultPivotStyle="PivotStyleMedium7"/>
  <colors>
    <mruColors>
      <color rgb="FFE6F0FB"/>
      <color rgb="FFC2D6EE"/>
      <color rgb="FFC2D6DA"/>
      <color rgb="FFFFFF99"/>
      <color rgb="FFF0F0F0"/>
      <color rgb="FFE6E6E6"/>
      <color rgb="FFD2D2D2"/>
      <color rgb="FFFAFAFA"/>
      <color rgb="FFE2E1E3"/>
      <color rgb="FF0082D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-Design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Arial">
      <a:maj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ajorFont>
      <a:minorFont>
        <a:latin typeface="Arial" panose="020B0604020202020204"/>
        <a:ea typeface=""/>
        <a:cs typeface=""/>
        <a:font script="Jpan" typeface="ＭＳ Ｐゴシック"/>
        <a:font script="Hang" typeface="굴림"/>
        <a:font script="Hans" typeface="黑体"/>
        <a:font script="Hant" typeface="微軟正黑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baselland.ch/politik-und-behorden/direktionen/bildungs-kultur-und-sportdirektion/bildung/handbuch/organisation-schulbetrieb/personal/copy16_of_template/copy8_of_template" TargetMode="Externa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Tabelle23">
    <tabColor rgb="FFFFC000"/>
  </sheetPr>
  <dimension ref="A1:L29"/>
  <sheetViews>
    <sheetView zoomScale="85" zoomScaleNormal="85" workbookViewId="0">
      <pane ySplit="1" topLeftCell="A2" activePane="bottomLeft" state="frozen"/>
      <selection activeCell="C35" sqref="C35"/>
      <selection pane="bottomLeft" activeCell="L2" sqref="L2:L5"/>
    </sheetView>
  </sheetViews>
  <sheetFormatPr baseColWidth="10" defaultColWidth="11.5546875" defaultRowHeight="12.75" x14ac:dyDescent="0.2"/>
  <cols>
    <col min="1" max="11" width="17.77734375" style="46" customWidth="1"/>
    <col min="12" max="16384" width="11.5546875" style="3"/>
  </cols>
  <sheetData>
    <row r="1" spans="1:12" s="24" customFormat="1" ht="39" thickBot="1" x14ac:dyDescent="0.25">
      <c r="A1" s="64" t="s">
        <v>125</v>
      </c>
      <c r="B1" s="65" t="s">
        <v>171</v>
      </c>
      <c r="C1" s="66" t="s">
        <v>126</v>
      </c>
      <c r="D1" s="66" t="s">
        <v>127</v>
      </c>
      <c r="E1" s="66" t="s">
        <v>128</v>
      </c>
      <c r="F1" s="66" t="s">
        <v>129</v>
      </c>
      <c r="G1" s="64" t="s">
        <v>130</v>
      </c>
      <c r="H1" s="64" t="s">
        <v>131</v>
      </c>
      <c r="I1" s="64" t="s">
        <v>132</v>
      </c>
      <c r="J1" s="67" t="s">
        <v>181</v>
      </c>
      <c r="K1" s="63" t="s">
        <v>183</v>
      </c>
      <c r="L1" s="238" t="s">
        <v>227</v>
      </c>
    </row>
    <row r="2" spans="1:12" ht="51.75" thickBot="1" x14ac:dyDescent="0.25">
      <c r="A2" s="63" t="s">
        <v>178</v>
      </c>
      <c r="B2" s="69" t="s">
        <v>172</v>
      </c>
      <c r="C2" s="66" t="s">
        <v>99</v>
      </c>
      <c r="D2" s="66" t="s">
        <v>99</v>
      </c>
      <c r="E2" s="66" t="s">
        <v>99</v>
      </c>
      <c r="F2" s="70" t="s">
        <v>99</v>
      </c>
      <c r="G2" s="63">
        <v>22</v>
      </c>
      <c r="H2" s="63">
        <v>22</v>
      </c>
      <c r="I2" s="69">
        <v>22</v>
      </c>
      <c r="J2" s="70" t="s">
        <v>34</v>
      </c>
      <c r="K2" s="63" t="s">
        <v>167</v>
      </c>
      <c r="L2" s="66" t="s">
        <v>99</v>
      </c>
    </row>
    <row r="3" spans="1:12" ht="13.5" thickBot="1" x14ac:dyDescent="0.25">
      <c r="A3" s="64" t="s">
        <v>87</v>
      </c>
      <c r="B3" s="71" t="s">
        <v>186</v>
      </c>
      <c r="C3" s="67" t="s">
        <v>133</v>
      </c>
      <c r="D3" s="66" t="s">
        <v>133</v>
      </c>
      <c r="E3" s="67" t="s">
        <v>133</v>
      </c>
      <c r="F3" s="72" t="s">
        <v>133</v>
      </c>
      <c r="G3" s="63">
        <v>26</v>
      </c>
      <c r="H3" s="63">
        <v>23</v>
      </c>
      <c r="I3" s="73">
        <v>26</v>
      </c>
      <c r="J3" s="70" t="s">
        <v>144</v>
      </c>
      <c r="K3" s="63" t="s">
        <v>147</v>
      </c>
      <c r="L3" s="67" t="s">
        <v>133</v>
      </c>
    </row>
    <row r="4" spans="1:12" ht="26.25" thickBot="1" x14ac:dyDescent="0.25">
      <c r="A4" s="64" t="s">
        <v>90</v>
      </c>
      <c r="B4" s="71" t="s">
        <v>187</v>
      </c>
      <c r="C4" s="67" t="s">
        <v>134</v>
      </c>
      <c r="D4" s="67" t="s">
        <v>134</v>
      </c>
      <c r="E4" s="67" t="s">
        <v>134</v>
      </c>
      <c r="F4" s="67" t="s">
        <v>134</v>
      </c>
      <c r="G4" s="24"/>
      <c r="H4" s="63">
        <v>24</v>
      </c>
      <c r="I4" s="24"/>
      <c r="J4" s="66" t="s">
        <v>145</v>
      </c>
      <c r="K4" s="24"/>
      <c r="L4" s="67" t="s">
        <v>134</v>
      </c>
    </row>
    <row r="5" spans="1:12" ht="51.75" thickBot="1" x14ac:dyDescent="0.25">
      <c r="A5" s="64" t="s">
        <v>88</v>
      </c>
      <c r="B5" s="71" t="s">
        <v>185</v>
      </c>
      <c r="C5" s="67" t="s">
        <v>135</v>
      </c>
      <c r="D5" s="66" t="s">
        <v>136</v>
      </c>
      <c r="E5" s="74"/>
      <c r="F5" s="67" t="s">
        <v>137</v>
      </c>
      <c r="G5" s="24"/>
      <c r="H5" s="63">
        <v>26</v>
      </c>
      <c r="I5" s="24"/>
      <c r="J5" s="66" t="s">
        <v>130</v>
      </c>
      <c r="K5" s="24"/>
      <c r="L5" s="67" t="s">
        <v>226</v>
      </c>
    </row>
    <row r="6" spans="1:12" ht="51.75" thickBot="1" x14ac:dyDescent="0.25">
      <c r="A6" s="64" t="s">
        <v>138</v>
      </c>
      <c r="B6" s="65" t="s">
        <v>173</v>
      </c>
      <c r="C6" s="67" t="s">
        <v>226</v>
      </c>
      <c r="D6" s="67" t="s">
        <v>137</v>
      </c>
      <c r="E6" s="74"/>
      <c r="F6" s="74"/>
      <c r="G6" s="24"/>
      <c r="H6" s="24"/>
      <c r="I6" s="24"/>
      <c r="J6" s="66" t="s">
        <v>131</v>
      </c>
      <c r="K6" s="24"/>
    </row>
    <row r="7" spans="1:12" ht="39" thickBot="1" x14ac:dyDescent="0.25">
      <c r="A7" s="64" t="s">
        <v>91</v>
      </c>
      <c r="B7" s="65" t="s">
        <v>87</v>
      </c>
      <c r="C7" s="74"/>
      <c r="D7" s="67" t="s">
        <v>225</v>
      </c>
      <c r="E7" s="74"/>
      <c r="F7" s="74"/>
      <c r="G7" s="24"/>
      <c r="H7" s="24"/>
      <c r="I7" s="24"/>
      <c r="J7" s="66" t="s">
        <v>132</v>
      </c>
      <c r="K7" s="24"/>
    </row>
    <row r="8" spans="1:12" ht="51.75" thickBot="1" x14ac:dyDescent="0.25">
      <c r="A8" s="64" t="s">
        <v>139</v>
      </c>
      <c r="B8" s="65" t="s">
        <v>174</v>
      </c>
      <c r="C8" s="24"/>
      <c r="D8" s="67" t="s">
        <v>226</v>
      </c>
      <c r="E8" s="24"/>
      <c r="F8" s="24"/>
      <c r="G8" s="24"/>
      <c r="H8" s="24"/>
      <c r="I8" s="24"/>
      <c r="J8" s="66" t="s">
        <v>146</v>
      </c>
      <c r="K8" s="24"/>
    </row>
    <row r="9" spans="1:12" ht="13.5" thickBot="1" x14ac:dyDescent="0.25">
      <c r="A9" s="64" t="s">
        <v>89</v>
      </c>
      <c r="B9" s="65" t="s">
        <v>175</v>
      </c>
      <c r="C9" s="24"/>
      <c r="D9" s="24"/>
      <c r="E9" s="75"/>
      <c r="F9" s="75"/>
      <c r="G9" s="24"/>
      <c r="H9" s="24"/>
      <c r="I9" s="24"/>
      <c r="K9" s="24"/>
    </row>
    <row r="10" spans="1:12" ht="26.25" thickBot="1" x14ac:dyDescent="0.25">
      <c r="A10" s="64" t="s">
        <v>140</v>
      </c>
      <c r="B10" s="65" t="s">
        <v>176</v>
      </c>
      <c r="C10" s="75"/>
      <c r="D10" s="24"/>
      <c r="E10" s="24"/>
      <c r="F10" s="24"/>
      <c r="G10" s="24"/>
      <c r="H10" s="24"/>
      <c r="I10" s="24"/>
      <c r="J10" s="24"/>
      <c r="K10" s="24"/>
    </row>
    <row r="11" spans="1:12" ht="13.5" thickBot="1" x14ac:dyDescent="0.25">
      <c r="A11" s="64" t="s">
        <v>141</v>
      </c>
      <c r="B11" s="65" t="s">
        <v>188</v>
      </c>
      <c r="C11" s="75"/>
      <c r="D11" s="24"/>
      <c r="E11" s="24"/>
      <c r="F11" s="24"/>
      <c r="G11" s="24"/>
      <c r="H11" s="24"/>
      <c r="I11" s="24"/>
      <c r="J11" s="24"/>
      <c r="K11" s="24"/>
    </row>
    <row r="12" spans="1:12" ht="26.25" thickBot="1" x14ac:dyDescent="0.25">
      <c r="A12" s="64" t="s">
        <v>179</v>
      </c>
      <c r="B12" s="65" t="s">
        <v>177</v>
      </c>
      <c r="C12" s="24"/>
      <c r="D12" s="24"/>
      <c r="E12" s="24"/>
      <c r="F12" s="24"/>
      <c r="G12" s="24"/>
      <c r="H12" s="24"/>
      <c r="I12" s="24"/>
      <c r="J12" s="24"/>
      <c r="K12" s="24"/>
    </row>
    <row r="13" spans="1:12" x14ac:dyDescent="0.2">
      <c r="B13" s="24"/>
      <c r="C13" s="24"/>
      <c r="D13" s="24"/>
      <c r="E13" s="24"/>
      <c r="F13" s="24"/>
      <c r="G13" s="24"/>
      <c r="H13" s="24"/>
      <c r="I13" s="24"/>
      <c r="J13" s="24"/>
      <c r="K13" s="24"/>
    </row>
    <row r="26" spans="1:2" x14ac:dyDescent="0.2">
      <c r="A26" s="68"/>
      <c r="B26" s="68"/>
    </row>
    <row r="29" spans="1:2" x14ac:dyDescent="0.2">
      <c r="A29" s="68"/>
      <c r="B29" s="68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24">
    <tabColor rgb="FFFFC000"/>
  </sheetPr>
  <dimension ref="A1:AU252"/>
  <sheetViews>
    <sheetView zoomScaleNormal="100" workbookViewId="0">
      <selection activeCell="F6" sqref="F6"/>
    </sheetView>
  </sheetViews>
  <sheetFormatPr baseColWidth="10" defaultColWidth="11.5546875" defaultRowHeight="15" x14ac:dyDescent="0.2"/>
  <cols>
    <col min="1" max="1" width="3.5546875" style="39" bestFit="1" customWidth="1"/>
    <col min="2" max="3" width="11.33203125" style="3" customWidth="1"/>
    <col min="4" max="4" width="3.77734375" customWidth="1"/>
    <col min="5" max="7" width="8.21875" style="3" customWidth="1"/>
    <col min="8" max="8" width="9.33203125" style="3" customWidth="1"/>
    <col min="9" max="12" width="8.21875" style="3" customWidth="1"/>
    <col min="13" max="13" width="3.109375" customWidth="1"/>
    <col min="14" max="14" width="16.33203125" customWidth="1"/>
    <col min="15" max="15" width="8.109375" customWidth="1"/>
    <col min="16" max="16" width="11.5546875" style="26"/>
    <col min="17" max="18" width="14.44140625" style="26" customWidth="1"/>
    <col min="19" max="19" width="13.88671875" bestFit="1" customWidth="1"/>
    <col min="20" max="20" width="26.77734375" bestFit="1" customWidth="1"/>
    <col min="21" max="22" width="9.77734375" bestFit="1" customWidth="1"/>
    <col min="23" max="23" width="26.5546875" bestFit="1" customWidth="1"/>
    <col min="24" max="24" width="9.88671875" bestFit="1" customWidth="1"/>
    <col min="25" max="26" width="9.77734375" bestFit="1" customWidth="1"/>
    <col min="27" max="27" width="3.5546875" style="39" bestFit="1" customWidth="1"/>
    <col min="28" max="30" width="6.5546875" style="3" customWidth="1"/>
    <col min="31" max="31" width="45" style="3" bestFit="1" customWidth="1"/>
    <col min="32" max="36" width="11.33203125" style="3" customWidth="1"/>
    <col min="37" max="37" width="3.5546875" style="39" bestFit="1" customWidth="1"/>
    <col min="38" max="47" width="11.21875" customWidth="1"/>
    <col min="48" max="16384" width="11.5546875" style="3"/>
  </cols>
  <sheetData>
    <row r="1" spans="1:47" s="46" customFormat="1" ht="62.25" thickBot="1" x14ac:dyDescent="0.35">
      <c r="A1" s="267" t="s">
        <v>189</v>
      </c>
      <c r="B1" s="212" t="s">
        <v>192</v>
      </c>
      <c r="C1" s="210" t="s">
        <v>4</v>
      </c>
      <c r="D1"/>
      <c r="E1" s="269" t="s">
        <v>220</v>
      </c>
      <c r="F1" s="270"/>
      <c r="G1" s="233" t="s">
        <v>6</v>
      </c>
      <c r="H1" s="233" t="s">
        <v>221</v>
      </c>
      <c r="I1" s="233" t="s">
        <v>222</v>
      </c>
      <c r="J1" s="233" t="s">
        <v>18</v>
      </c>
      <c r="K1" s="233" t="s">
        <v>219</v>
      </c>
      <c r="L1" s="233" t="s">
        <v>11</v>
      </c>
      <c r="M1"/>
      <c r="N1" s="41" t="s">
        <v>240</v>
      </c>
      <c r="O1" s="205"/>
      <c r="P1" s="45" t="s">
        <v>241</v>
      </c>
      <c r="Q1" s="224"/>
      <c r="R1" s="224"/>
      <c r="S1" s="43"/>
      <c r="T1" s="211" t="s">
        <v>242</v>
      </c>
      <c r="U1" s="43" t="s">
        <v>23</v>
      </c>
      <c r="V1" s="43" t="s">
        <v>164</v>
      </c>
      <c r="W1" s="44" t="s">
        <v>243</v>
      </c>
      <c r="X1" s="218"/>
      <c r="Y1" s="44" t="s">
        <v>23</v>
      </c>
      <c r="Z1" s="44" t="s">
        <v>164</v>
      </c>
      <c r="AA1" s="267" t="s">
        <v>190</v>
      </c>
      <c r="AB1" s="268" t="s">
        <v>1</v>
      </c>
      <c r="AC1" s="268"/>
      <c r="AD1" s="268"/>
      <c r="AE1" s="49" t="s">
        <v>5</v>
      </c>
      <c r="AF1" s="49" t="s">
        <v>9</v>
      </c>
      <c r="AG1" s="50" t="s">
        <v>182</v>
      </c>
      <c r="AH1" s="49" t="s">
        <v>142</v>
      </c>
      <c r="AI1" s="49" t="s">
        <v>143</v>
      </c>
      <c r="AJ1" s="49" t="s">
        <v>11</v>
      </c>
      <c r="AK1" s="267" t="s">
        <v>191</v>
      </c>
      <c r="AL1" s="52" t="s">
        <v>14</v>
      </c>
      <c r="AM1" s="53"/>
      <c r="AN1" s="53"/>
      <c r="AO1" s="54" t="s">
        <v>17</v>
      </c>
      <c r="AP1" s="47"/>
      <c r="AQ1" s="47"/>
      <c r="AR1" s="47"/>
      <c r="AS1" s="47"/>
      <c r="AT1" s="47"/>
      <c r="AU1" s="29"/>
    </row>
    <row r="2" spans="1:47" ht="16.5" thickBot="1" x14ac:dyDescent="0.3">
      <c r="A2" s="267"/>
      <c r="B2" s="228" t="s">
        <v>228</v>
      </c>
      <c r="C2" s="229">
        <v>2091.6</v>
      </c>
      <c r="E2" s="204" t="s">
        <v>216</v>
      </c>
      <c r="F2" s="204"/>
      <c r="G2" s="262">
        <v>25</v>
      </c>
      <c r="H2" s="219">
        <v>38</v>
      </c>
      <c r="I2" s="219">
        <v>104</v>
      </c>
      <c r="J2" s="219">
        <v>186</v>
      </c>
      <c r="K2" s="219">
        <v>12</v>
      </c>
      <c r="L2" s="234">
        <v>365</v>
      </c>
      <c r="N2" s="204" t="s">
        <v>33</v>
      </c>
      <c r="O2" s="207">
        <v>168</v>
      </c>
      <c r="P2" s="219" t="s">
        <v>50</v>
      </c>
      <c r="Q2" s="225">
        <v>44408</v>
      </c>
      <c r="R2" s="241" t="s">
        <v>244</v>
      </c>
      <c r="S2" s="222" t="s">
        <v>151</v>
      </c>
      <c r="T2" s="214">
        <v>44408</v>
      </c>
      <c r="U2" s="213">
        <v>1</v>
      </c>
      <c r="V2" s="57">
        <v>1</v>
      </c>
      <c r="W2" s="217" t="s">
        <v>158</v>
      </c>
      <c r="X2" s="214">
        <v>44553</v>
      </c>
      <c r="Y2" s="213">
        <v>1</v>
      </c>
      <c r="Z2" s="57">
        <v>1</v>
      </c>
      <c r="AA2" s="267"/>
      <c r="AB2" s="265" t="s">
        <v>7</v>
      </c>
      <c r="AC2" s="265"/>
      <c r="AD2" s="266" t="s">
        <v>8</v>
      </c>
      <c r="AE2" s="51" t="s">
        <v>34</v>
      </c>
      <c r="AF2" s="60">
        <v>28</v>
      </c>
      <c r="AG2" s="60" t="s">
        <v>245</v>
      </c>
      <c r="AH2" s="100">
        <v>0.83799999999999997</v>
      </c>
      <c r="AI2" s="100">
        <v>0.16200000000000001</v>
      </c>
      <c r="AJ2" s="61">
        <v>1</v>
      </c>
      <c r="AK2" s="267"/>
      <c r="AL2" s="40"/>
      <c r="AM2" s="1" t="s">
        <v>15</v>
      </c>
      <c r="AN2" s="2" t="s">
        <v>16</v>
      </c>
      <c r="AO2" s="55" t="s">
        <v>18</v>
      </c>
      <c r="AP2" s="55" t="s">
        <v>20</v>
      </c>
      <c r="AQ2" s="55" t="s">
        <v>21</v>
      </c>
      <c r="AR2" s="55" t="s">
        <v>22</v>
      </c>
      <c r="AS2" s="55" t="s">
        <v>23</v>
      </c>
      <c r="AT2" s="55" t="s">
        <v>24</v>
      </c>
    </row>
    <row r="3" spans="1:47" ht="16.5" thickBot="1" x14ac:dyDescent="0.3">
      <c r="A3" s="267"/>
      <c r="B3" t="s">
        <v>217</v>
      </c>
      <c r="C3" t="s">
        <v>218</v>
      </c>
      <c r="E3" s="204" t="s">
        <v>165</v>
      </c>
      <c r="F3" s="204"/>
      <c r="G3" s="219">
        <v>5</v>
      </c>
      <c r="H3" s="219">
        <v>7.6</v>
      </c>
      <c r="I3"/>
      <c r="J3" s="219">
        <v>37.200000000000003</v>
      </c>
      <c r="K3" s="219">
        <v>2.4</v>
      </c>
      <c r="L3" s="235">
        <v>52.2</v>
      </c>
      <c r="N3" s="204" t="s">
        <v>36</v>
      </c>
      <c r="O3" s="208">
        <v>184.8</v>
      </c>
      <c r="P3" s="219" t="s">
        <v>50</v>
      </c>
      <c r="Q3" s="226">
        <v>44409</v>
      </c>
      <c r="R3" s="241" t="s">
        <v>20</v>
      </c>
      <c r="S3" s="222" t="s">
        <v>152</v>
      </c>
      <c r="T3" s="215">
        <v>44554</v>
      </c>
      <c r="U3" s="213">
        <v>1</v>
      </c>
      <c r="V3" s="57">
        <v>1</v>
      </c>
      <c r="W3" s="217" t="s">
        <v>157</v>
      </c>
      <c r="X3" s="215">
        <v>44560</v>
      </c>
      <c r="Y3" s="213">
        <v>1</v>
      </c>
      <c r="Z3" s="57">
        <v>1</v>
      </c>
      <c r="AA3" s="267"/>
      <c r="AB3" s="48" t="s">
        <v>2</v>
      </c>
      <c r="AC3" s="48" t="s">
        <v>3</v>
      </c>
      <c r="AD3" s="266"/>
      <c r="AE3" s="51" t="s">
        <v>144</v>
      </c>
      <c r="AF3" s="60">
        <v>28</v>
      </c>
      <c r="AG3" s="60" t="s">
        <v>246</v>
      </c>
      <c r="AH3" s="100">
        <v>0.83799999999999997</v>
      </c>
      <c r="AI3" s="100">
        <v>0.16200000000000001</v>
      </c>
      <c r="AJ3" s="61">
        <v>1</v>
      </c>
      <c r="AK3" s="267"/>
      <c r="AL3" s="40">
        <v>1</v>
      </c>
      <c r="AM3" s="57" t="s">
        <v>18</v>
      </c>
      <c r="AN3" s="58" t="s">
        <v>19</v>
      </c>
      <c r="AO3" s="56" t="s">
        <v>27</v>
      </c>
      <c r="AP3" s="56" t="s">
        <v>28</v>
      </c>
      <c r="AQ3" s="56" t="s">
        <v>29</v>
      </c>
      <c r="AR3" s="56" t="s">
        <v>30</v>
      </c>
      <c r="AS3" s="56" t="s">
        <v>31</v>
      </c>
      <c r="AT3" s="56" t="s">
        <v>32</v>
      </c>
    </row>
    <row r="4" spans="1:47" ht="15.75" thickBot="1" x14ac:dyDescent="0.25">
      <c r="A4" s="267"/>
      <c r="B4" s="230">
        <v>44408</v>
      </c>
      <c r="C4" s="231">
        <v>44772</v>
      </c>
      <c r="E4" t="s">
        <v>230</v>
      </c>
      <c r="F4"/>
      <c r="G4"/>
      <c r="H4"/>
      <c r="I4"/>
      <c r="J4"/>
      <c r="K4"/>
      <c r="L4"/>
      <c r="N4" s="204" t="s">
        <v>40</v>
      </c>
      <c r="O4" s="208">
        <v>193.2</v>
      </c>
      <c r="P4" s="219" t="s">
        <v>50</v>
      </c>
      <c r="Q4" s="226">
        <v>44410</v>
      </c>
      <c r="R4" s="241" t="s">
        <v>20</v>
      </c>
      <c r="S4" s="222" t="s">
        <v>153</v>
      </c>
      <c r="T4" s="215">
        <v>44555</v>
      </c>
      <c r="U4" s="213">
        <v>1</v>
      </c>
      <c r="V4" s="57">
        <v>1</v>
      </c>
      <c r="W4" s="217" t="s">
        <v>159</v>
      </c>
      <c r="X4" s="215">
        <v>44614</v>
      </c>
      <c r="Y4" s="213">
        <v>1</v>
      </c>
      <c r="Z4" s="57">
        <v>1</v>
      </c>
      <c r="AA4" s="267"/>
      <c r="AB4" s="62">
        <v>0</v>
      </c>
      <c r="AC4" s="62">
        <v>49</v>
      </c>
      <c r="AD4" s="62">
        <v>25</v>
      </c>
      <c r="AE4" s="51" t="s">
        <v>145</v>
      </c>
      <c r="AF4" s="60">
        <v>27</v>
      </c>
      <c r="AG4" s="60" t="s">
        <v>247</v>
      </c>
      <c r="AH4" s="100">
        <v>0.87</v>
      </c>
      <c r="AI4" s="100">
        <v>0.13</v>
      </c>
      <c r="AJ4" s="61">
        <v>1</v>
      </c>
      <c r="AK4" s="267"/>
      <c r="AL4" s="40">
        <v>2</v>
      </c>
      <c r="AM4" s="57" t="s">
        <v>25</v>
      </c>
      <c r="AN4" s="58" t="s">
        <v>26</v>
      </c>
      <c r="AO4" s="57" t="s">
        <v>18</v>
      </c>
      <c r="AP4" s="57" t="s">
        <v>20</v>
      </c>
      <c r="AQ4" s="57" t="s">
        <v>21</v>
      </c>
      <c r="AR4" s="57" t="s">
        <v>18</v>
      </c>
      <c r="AS4" s="57" t="s">
        <v>25</v>
      </c>
      <c r="AT4" s="57" t="s">
        <v>53</v>
      </c>
    </row>
    <row r="5" spans="1:47" ht="15.75" thickBot="1" x14ac:dyDescent="0.25">
      <c r="A5" s="267"/>
      <c r="B5"/>
      <c r="C5"/>
      <c r="E5"/>
      <c r="F5"/>
      <c r="G5"/>
      <c r="H5"/>
      <c r="I5"/>
      <c r="J5"/>
      <c r="K5"/>
      <c r="L5"/>
      <c r="N5" s="204" t="s">
        <v>45</v>
      </c>
      <c r="O5" s="208">
        <v>168</v>
      </c>
      <c r="P5" s="219" t="s">
        <v>50</v>
      </c>
      <c r="Q5" s="226">
        <v>44411</v>
      </c>
      <c r="R5" s="241" t="s">
        <v>244</v>
      </c>
      <c r="S5" s="222" t="s">
        <v>154</v>
      </c>
      <c r="T5" s="215">
        <v>44561</v>
      </c>
      <c r="U5" s="213">
        <v>1</v>
      </c>
      <c r="V5" s="57">
        <v>1</v>
      </c>
      <c r="W5" s="217" t="s">
        <v>160</v>
      </c>
      <c r="X5" s="216">
        <v>44616</v>
      </c>
      <c r="Y5" s="213">
        <v>1</v>
      </c>
      <c r="Z5" s="57">
        <v>1</v>
      </c>
      <c r="AA5" s="267"/>
      <c r="AB5" s="62">
        <v>50</v>
      </c>
      <c r="AC5" s="62">
        <v>59</v>
      </c>
      <c r="AD5" s="62">
        <v>27</v>
      </c>
      <c r="AE5" s="51" t="s">
        <v>130</v>
      </c>
      <c r="AF5" s="60">
        <v>22</v>
      </c>
      <c r="AG5" s="60" t="s">
        <v>248</v>
      </c>
      <c r="AH5" s="100">
        <v>0.878</v>
      </c>
      <c r="AI5" s="100">
        <v>0.122</v>
      </c>
      <c r="AJ5" s="61">
        <v>1</v>
      </c>
      <c r="AK5" s="267"/>
      <c r="AL5" s="40">
        <v>3</v>
      </c>
      <c r="AM5" s="57" t="s">
        <v>35</v>
      </c>
      <c r="AN5" s="58" t="s">
        <v>26</v>
      </c>
      <c r="AO5" s="57" t="s">
        <v>25</v>
      </c>
      <c r="AP5" s="57"/>
      <c r="AQ5" s="57"/>
      <c r="AR5" s="57" t="s">
        <v>25</v>
      </c>
      <c r="AS5" s="57" t="s">
        <v>35</v>
      </c>
      <c r="AT5" s="57"/>
    </row>
    <row r="6" spans="1:47" ht="15.75" thickBot="1" x14ac:dyDescent="0.25">
      <c r="A6" s="267"/>
      <c r="B6"/>
      <c r="C6"/>
      <c r="E6"/>
      <c r="F6"/>
      <c r="G6"/>
      <c r="H6" s="242"/>
      <c r="I6"/>
      <c r="J6">
        <v>186</v>
      </c>
      <c r="K6"/>
      <c r="L6"/>
      <c r="N6" s="204" t="s">
        <v>47</v>
      </c>
      <c r="O6" s="208">
        <v>168</v>
      </c>
      <c r="P6" s="219" t="s">
        <v>50</v>
      </c>
      <c r="Q6" s="226">
        <v>44412</v>
      </c>
      <c r="R6" s="241" t="s">
        <v>244</v>
      </c>
      <c r="S6" s="222" t="s">
        <v>155</v>
      </c>
      <c r="T6" s="215">
        <v>44653</v>
      </c>
      <c r="U6" s="213">
        <v>1</v>
      </c>
      <c r="V6" s="57">
        <v>1</v>
      </c>
      <c r="AA6" s="267"/>
      <c r="AB6" s="62">
        <v>60</v>
      </c>
      <c r="AC6" s="62">
        <v>65</v>
      </c>
      <c r="AD6" s="62">
        <v>30</v>
      </c>
      <c r="AE6" s="51" t="s">
        <v>130</v>
      </c>
      <c r="AF6" s="60">
        <v>26</v>
      </c>
      <c r="AG6" s="60" t="s">
        <v>249</v>
      </c>
      <c r="AH6" s="100">
        <v>0.871</v>
      </c>
      <c r="AI6" s="100">
        <v>0.129</v>
      </c>
      <c r="AJ6" s="61">
        <v>1</v>
      </c>
      <c r="AK6" s="267"/>
      <c r="AL6" s="40">
        <v>4</v>
      </c>
      <c r="AM6" s="57" t="s">
        <v>37</v>
      </c>
      <c r="AN6" s="59" t="s">
        <v>38</v>
      </c>
      <c r="AO6" s="57" t="s">
        <v>35</v>
      </c>
      <c r="AP6" s="57"/>
      <c r="AQ6" s="57"/>
      <c r="AR6" s="57" t="s">
        <v>35</v>
      </c>
      <c r="AS6" s="57" t="s">
        <v>37</v>
      </c>
      <c r="AT6" s="57"/>
    </row>
    <row r="7" spans="1:47" ht="15.75" thickBot="1" x14ac:dyDescent="0.25">
      <c r="A7" s="267"/>
      <c r="B7"/>
      <c r="C7"/>
      <c r="E7"/>
      <c r="F7"/>
      <c r="G7"/>
      <c r="H7"/>
      <c r="I7"/>
      <c r="J7"/>
      <c r="K7"/>
      <c r="L7"/>
      <c r="N7" s="204" t="s">
        <v>49</v>
      </c>
      <c r="O7" s="208">
        <v>176.4</v>
      </c>
      <c r="P7" s="219" t="s">
        <v>50</v>
      </c>
      <c r="Q7" s="226">
        <v>44413</v>
      </c>
      <c r="R7" s="241" t="s">
        <v>244</v>
      </c>
      <c r="S7" s="222" t="s">
        <v>156</v>
      </c>
      <c r="T7" s="215">
        <v>44656</v>
      </c>
      <c r="U7" s="213">
        <v>1</v>
      </c>
      <c r="V7" s="57">
        <v>1</v>
      </c>
      <c r="AA7" s="267"/>
      <c r="AE7" s="51" t="s">
        <v>131</v>
      </c>
      <c r="AF7" s="60">
        <v>22</v>
      </c>
      <c r="AG7" s="60" t="s">
        <v>250</v>
      </c>
      <c r="AH7" s="100">
        <v>0.878</v>
      </c>
      <c r="AI7" s="100">
        <v>0.122</v>
      </c>
      <c r="AJ7" s="61">
        <v>1</v>
      </c>
      <c r="AK7" s="267"/>
      <c r="AL7" s="40">
        <v>5</v>
      </c>
      <c r="AM7" s="57" t="s">
        <v>42</v>
      </c>
      <c r="AN7" s="59" t="s">
        <v>43</v>
      </c>
      <c r="AO7" s="57" t="s">
        <v>37</v>
      </c>
      <c r="AP7" s="57"/>
      <c r="AQ7" s="57"/>
      <c r="AR7" s="57" t="s">
        <v>37</v>
      </c>
      <c r="AS7" s="57" t="s">
        <v>42</v>
      </c>
      <c r="AT7" s="57"/>
    </row>
    <row r="8" spans="1:47" ht="15.75" thickBot="1" x14ac:dyDescent="0.25">
      <c r="A8" s="267"/>
      <c r="B8" s="96"/>
      <c r="E8" s="244" t="s">
        <v>232</v>
      </c>
      <c r="F8" s="246"/>
      <c r="G8" s="246" t="s">
        <v>6</v>
      </c>
      <c r="H8" s="246" t="s">
        <v>221</v>
      </c>
      <c r="I8" s="246" t="s">
        <v>222</v>
      </c>
      <c r="J8" s="246" t="s">
        <v>18</v>
      </c>
      <c r="K8" s="247" t="s">
        <v>219</v>
      </c>
      <c r="L8" s="246" t="s">
        <v>11</v>
      </c>
      <c r="N8" s="204" t="s">
        <v>51</v>
      </c>
      <c r="O8" s="208">
        <v>159.6</v>
      </c>
      <c r="P8" s="219" t="s">
        <v>50</v>
      </c>
      <c r="Q8" s="226">
        <v>44414</v>
      </c>
      <c r="R8" s="241" t="s">
        <v>244</v>
      </c>
      <c r="S8" s="223" t="s">
        <v>193</v>
      </c>
      <c r="T8" s="215">
        <v>44681</v>
      </c>
      <c r="U8" s="213">
        <v>0</v>
      </c>
      <c r="V8" s="57">
        <v>1</v>
      </c>
      <c r="Y8" s="27"/>
      <c r="Z8" s="27"/>
      <c r="AA8" s="267"/>
      <c r="AE8" s="51" t="s">
        <v>131</v>
      </c>
      <c r="AF8" s="60">
        <v>23</v>
      </c>
      <c r="AG8" s="60" t="s">
        <v>251</v>
      </c>
      <c r="AH8" s="100">
        <v>0.876</v>
      </c>
      <c r="AI8" s="100">
        <v>0.124</v>
      </c>
      <c r="AJ8" s="61">
        <v>1</v>
      </c>
      <c r="AK8" s="267"/>
      <c r="AL8" s="40">
        <v>6</v>
      </c>
      <c r="AM8" s="57" t="s">
        <v>6</v>
      </c>
      <c r="AN8" s="59" t="s">
        <v>38</v>
      </c>
      <c r="AO8" s="57" t="s">
        <v>42</v>
      </c>
      <c r="AP8" s="57"/>
      <c r="AQ8" s="57"/>
      <c r="AR8" s="57" t="s">
        <v>42</v>
      </c>
      <c r="AS8" s="57" t="s">
        <v>6</v>
      </c>
      <c r="AT8" s="57"/>
    </row>
    <row r="9" spans="1:47" ht="15.75" thickBot="1" x14ac:dyDescent="0.25">
      <c r="A9" s="267"/>
      <c r="B9" s="38"/>
      <c r="C9" s="38"/>
      <c r="E9" s="260" t="s">
        <v>18</v>
      </c>
      <c r="F9" s="261"/>
      <c r="G9" s="249"/>
      <c r="H9" s="249"/>
      <c r="I9" s="250"/>
      <c r="J9" s="249">
        <v>186</v>
      </c>
      <c r="K9" s="250"/>
      <c r="L9" s="258">
        <v>186</v>
      </c>
      <c r="N9" s="204" t="s">
        <v>52</v>
      </c>
      <c r="O9" s="208">
        <v>184.8</v>
      </c>
      <c r="P9" s="219" t="s">
        <v>50</v>
      </c>
      <c r="Q9" s="226">
        <v>44415</v>
      </c>
      <c r="R9" s="241" t="s">
        <v>244</v>
      </c>
      <c r="S9" s="222" t="s">
        <v>149</v>
      </c>
      <c r="T9" s="215">
        <v>44694</v>
      </c>
      <c r="U9" s="213">
        <v>0</v>
      </c>
      <c r="V9" s="57">
        <v>1</v>
      </c>
      <c r="AA9" s="267"/>
      <c r="AE9" s="51" t="s">
        <v>131</v>
      </c>
      <c r="AF9" s="60">
        <v>24</v>
      </c>
      <c r="AG9" s="60" t="s">
        <v>252</v>
      </c>
      <c r="AH9" s="100">
        <v>0.874</v>
      </c>
      <c r="AI9" s="100">
        <v>0.126</v>
      </c>
      <c r="AJ9" s="61">
        <v>1</v>
      </c>
      <c r="AK9" s="267"/>
      <c r="AL9" s="40">
        <v>7</v>
      </c>
      <c r="AM9" s="57" t="s">
        <v>20</v>
      </c>
      <c r="AN9" s="58" t="s">
        <v>26</v>
      </c>
      <c r="AO9" s="57"/>
      <c r="AP9" s="57"/>
      <c r="AQ9" s="57"/>
      <c r="AR9" s="57" t="s">
        <v>6</v>
      </c>
      <c r="AS9" s="57"/>
      <c r="AT9" s="57"/>
    </row>
    <row r="10" spans="1:47" ht="15.75" thickBot="1" x14ac:dyDescent="0.25">
      <c r="A10" s="267"/>
      <c r="B10" s="38"/>
      <c r="C10" s="37"/>
      <c r="E10" s="260" t="s">
        <v>20</v>
      </c>
      <c r="F10" s="261"/>
      <c r="G10" s="249"/>
      <c r="H10" s="251"/>
      <c r="I10" s="249">
        <v>104</v>
      </c>
      <c r="J10" s="252"/>
      <c r="K10" s="252"/>
      <c r="L10" s="258">
        <v>104</v>
      </c>
      <c r="N10" s="204" t="s">
        <v>54</v>
      </c>
      <c r="O10" s="208">
        <v>168</v>
      </c>
      <c r="P10" s="219" t="s">
        <v>50</v>
      </c>
      <c r="Q10" s="226">
        <v>44416</v>
      </c>
      <c r="R10" s="241" t="s">
        <v>20</v>
      </c>
      <c r="S10" s="222" t="s">
        <v>150</v>
      </c>
      <c r="T10" s="216">
        <v>44705</v>
      </c>
      <c r="U10" s="213">
        <v>0</v>
      </c>
      <c r="V10" s="57">
        <v>1</v>
      </c>
      <c r="AA10" s="267"/>
      <c r="AE10" s="51" t="s">
        <v>131</v>
      </c>
      <c r="AF10" s="60">
        <v>26</v>
      </c>
      <c r="AG10" s="60" t="s">
        <v>253</v>
      </c>
      <c r="AH10" s="100">
        <v>0.871</v>
      </c>
      <c r="AI10" s="100">
        <v>0.129</v>
      </c>
      <c r="AJ10" s="61">
        <v>1</v>
      </c>
      <c r="AK10" s="267"/>
      <c r="AL10" s="40">
        <v>8</v>
      </c>
      <c r="AM10" s="57" t="s">
        <v>21</v>
      </c>
      <c r="AN10" s="58" t="s">
        <v>26</v>
      </c>
      <c r="AO10" s="57"/>
      <c r="AP10" s="57"/>
      <c r="AQ10" s="57"/>
      <c r="AR10" s="57" t="s">
        <v>22</v>
      </c>
      <c r="AS10" s="57"/>
      <c r="AT10" s="57"/>
    </row>
    <row r="11" spans="1:47" ht="15.75" thickBot="1" x14ac:dyDescent="0.25">
      <c r="A11" s="267"/>
      <c r="B11" s="38"/>
      <c r="C11" s="38"/>
      <c r="E11" s="260" t="s">
        <v>231</v>
      </c>
      <c r="F11" s="261"/>
      <c r="G11" s="249"/>
      <c r="H11" s="253">
        <v>36</v>
      </c>
      <c r="I11" s="254"/>
      <c r="J11" s="254"/>
      <c r="K11" s="254"/>
      <c r="L11" s="258">
        <v>36</v>
      </c>
      <c r="N11" s="204" t="s">
        <v>55</v>
      </c>
      <c r="O11" s="208">
        <v>142.80000000000001</v>
      </c>
      <c r="P11" s="219" t="s">
        <v>50</v>
      </c>
      <c r="Q11" s="226">
        <v>44417</v>
      </c>
      <c r="R11" s="241" t="s">
        <v>20</v>
      </c>
      <c r="S11" s="243" t="s">
        <v>229</v>
      </c>
      <c r="T11" s="216">
        <v>44695</v>
      </c>
      <c r="U11" s="213">
        <v>0</v>
      </c>
      <c r="V11" s="57">
        <v>1</v>
      </c>
      <c r="AA11" s="267"/>
      <c r="AE11" s="51" t="s">
        <v>132</v>
      </c>
      <c r="AF11" s="60">
        <v>22</v>
      </c>
      <c r="AG11" s="60" t="s">
        <v>254</v>
      </c>
      <c r="AH11" s="100">
        <v>0.878</v>
      </c>
      <c r="AI11" s="100">
        <v>0.122</v>
      </c>
      <c r="AJ11" s="61">
        <v>1</v>
      </c>
      <c r="AK11" s="267"/>
      <c r="AL11" s="40">
        <v>9</v>
      </c>
      <c r="AM11" s="57" t="s">
        <v>22</v>
      </c>
      <c r="AN11" s="58" t="s">
        <v>26</v>
      </c>
    </row>
    <row r="12" spans="1:47" ht="15.75" thickBot="1" x14ac:dyDescent="0.25">
      <c r="A12" s="267"/>
      <c r="B12" s="38"/>
      <c r="E12" s="260" t="s">
        <v>21</v>
      </c>
      <c r="F12" s="261"/>
      <c r="G12" s="249"/>
      <c r="H12" s="251"/>
      <c r="I12" s="250"/>
      <c r="J12" s="250"/>
      <c r="K12" s="249">
        <v>10</v>
      </c>
      <c r="L12" s="258">
        <v>10</v>
      </c>
      <c r="N12" s="204" t="s">
        <v>56</v>
      </c>
      <c r="O12" s="208">
        <v>184.8</v>
      </c>
      <c r="P12" s="220" t="s">
        <v>39</v>
      </c>
      <c r="Q12" s="226">
        <v>44465</v>
      </c>
      <c r="R12" s="241" t="s">
        <v>20</v>
      </c>
      <c r="AA12" s="267"/>
      <c r="AE12" s="51" t="s">
        <v>132</v>
      </c>
      <c r="AF12" s="60">
        <v>26</v>
      </c>
      <c r="AG12" s="60" t="s">
        <v>255</v>
      </c>
      <c r="AH12" s="100">
        <v>0.871</v>
      </c>
      <c r="AI12" s="100">
        <v>0.129</v>
      </c>
      <c r="AJ12" s="61">
        <v>1</v>
      </c>
      <c r="AK12" s="267"/>
      <c r="AL12" s="40">
        <v>10</v>
      </c>
      <c r="AM12" s="57" t="s">
        <v>53</v>
      </c>
      <c r="AN12" s="59" t="s">
        <v>43</v>
      </c>
    </row>
    <row r="13" spans="1:47" ht="15.75" thickBot="1" x14ac:dyDescent="0.25">
      <c r="A13" s="267"/>
      <c r="E13" s="260" t="s">
        <v>22</v>
      </c>
      <c r="F13" s="261"/>
      <c r="G13" s="249"/>
      <c r="H13" s="249">
        <v>2</v>
      </c>
      <c r="I13" s="249"/>
      <c r="J13" s="249"/>
      <c r="K13" s="249">
        <v>2</v>
      </c>
      <c r="L13" s="258">
        <v>4</v>
      </c>
      <c r="N13" s="204" t="s">
        <v>57</v>
      </c>
      <c r="O13" s="209">
        <v>193.2</v>
      </c>
      <c r="P13" s="220" t="s">
        <v>39</v>
      </c>
      <c r="Q13" s="226">
        <v>44466</v>
      </c>
      <c r="R13" s="241" t="s">
        <v>20</v>
      </c>
      <c r="AA13" s="267"/>
      <c r="AE13" s="51" t="s">
        <v>41</v>
      </c>
      <c r="AF13" s="60">
        <v>27</v>
      </c>
      <c r="AG13" s="60" t="s">
        <v>256</v>
      </c>
      <c r="AH13" s="100">
        <v>0.83799999999999997</v>
      </c>
      <c r="AI13" s="100">
        <v>0.16200000000000001</v>
      </c>
      <c r="AJ13" s="61">
        <v>1</v>
      </c>
      <c r="AK13" s="267"/>
    </row>
    <row r="14" spans="1:47" ht="16.5" thickBot="1" x14ac:dyDescent="0.3">
      <c r="A14" s="267"/>
      <c r="E14" s="244" t="s">
        <v>236</v>
      </c>
      <c r="F14" s="255"/>
      <c r="G14" s="256">
        <v>25</v>
      </c>
      <c r="H14" s="257">
        <v>38</v>
      </c>
      <c r="I14" s="257">
        <v>104</v>
      </c>
      <c r="J14" s="257">
        <v>186</v>
      </c>
      <c r="K14" s="257">
        <v>12</v>
      </c>
      <c r="L14" s="259">
        <v>365</v>
      </c>
      <c r="N14" s="42" t="s">
        <v>148</v>
      </c>
      <c r="O14" s="206">
        <v>2091.6</v>
      </c>
      <c r="P14" s="220" t="s">
        <v>39</v>
      </c>
      <c r="Q14" s="226">
        <v>44467</v>
      </c>
      <c r="R14" s="241" t="s">
        <v>244</v>
      </c>
      <c r="T14" s="25"/>
      <c r="X14" s="25"/>
      <c r="AA14" s="267"/>
      <c r="AE14" s="51" t="s">
        <v>146</v>
      </c>
      <c r="AF14" s="60">
        <v>27</v>
      </c>
      <c r="AG14" s="60" t="s">
        <v>257</v>
      </c>
      <c r="AH14" s="100">
        <v>0.88700000000000001</v>
      </c>
      <c r="AI14" s="100">
        <v>0.113</v>
      </c>
      <c r="AJ14" s="61">
        <v>1</v>
      </c>
      <c r="AK14" s="267"/>
    </row>
    <row r="15" spans="1:47" ht="15.75" thickBot="1" x14ac:dyDescent="0.25">
      <c r="A15" s="267"/>
      <c r="E15" s="245" t="s">
        <v>237</v>
      </c>
      <c r="F15" s="248"/>
      <c r="G15" s="249" t="s">
        <v>233</v>
      </c>
      <c r="H15" s="249" t="s">
        <v>233</v>
      </c>
      <c r="I15" s="249" t="s">
        <v>234</v>
      </c>
      <c r="J15" s="249" t="s">
        <v>233</v>
      </c>
      <c r="K15" s="249" t="s">
        <v>234</v>
      </c>
      <c r="L15" s="258"/>
      <c r="P15" s="220" t="s">
        <v>39</v>
      </c>
      <c r="Q15" s="226">
        <v>44468</v>
      </c>
      <c r="R15" s="241" t="s">
        <v>244</v>
      </c>
      <c r="T15" s="25"/>
      <c r="X15" s="25"/>
      <c r="AA15" s="267"/>
      <c r="AK15" s="267"/>
    </row>
    <row r="16" spans="1:47" ht="15.75" thickBot="1" x14ac:dyDescent="0.25">
      <c r="A16" s="267"/>
      <c r="E16" s="244" t="s">
        <v>235</v>
      </c>
      <c r="F16" s="255"/>
      <c r="G16" s="256">
        <v>210</v>
      </c>
      <c r="H16" s="257">
        <v>319.2</v>
      </c>
      <c r="I16" s="257"/>
      <c r="J16" s="257">
        <v>1562.4</v>
      </c>
      <c r="K16" s="257"/>
      <c r="L16" s="259">
        <v>2091.6000000000004</v>
      </c>
      <c r="P16" s="220" t="s">
        <v>39</v>
      </c>
      <c r="Q16" s="226">
        <v>44469</v>
      </c>
      <c r="R16" s="241" t="s">
        <v>244</v>
      </c>
      <c r="T16" s="25"/>
      <c r="X16" s="25"/>
      <c r="AA16" s="267"/>
      <c r="AH16" s="227"/>
      <c r="AI16" s="227"/>
      <c r="AK16" s="267"/>
    </row>
    <row r="17" spans="10:35" ht="15.75" thickBot="1" x14ac:dyDescent="0.25">
      <c r="J17" s="232"/>
      <c r="P17" s="220" t="s">
        <v>39</v>
      </c>
      <c r="Q17" s="226">
        <v>44470</v>
      </c>
      <c r="R17" s="241" t="s">
        <v>244</v>
      </c>
      <c r="T17" s="25"/>
      <c r="X17" s="25"/>
      <c r="AE17" s="11"/>
      <c r="AH17" s="227"/>
      <c r="AI17" s="227"/>
    </row>
    <row r="18" spans="10:35" ht="15.75" thickBot="1" x14ac:dyDescent="0.25">
      <c r="P18" s="220" t="s">
        <v>39</v>
      </c>
      <c r="Q18" s="226">
        <v>44471</v>
      </c>
      <c r="R18" s="241" t="s">
        <v>244</v>
      </c>
      <c r="T18" s="25"/>
      <c r="AE18" s="11"/>
      <c r="AH18" s="227"/>
      <c r="AI18" s="227"/>
    </row>
    <row r="19" spans="10:35" ht="15.75" thickBot="1" x14ac:dyDescent="0.25">
      <c r="J19" s="232"/>
      <c r="P19" s="220" t="s">
        <v>39</v>
      </c>
      <c r="Q19" s="226">
        <v>44472</v>
      </c>
      <c r="R19" s="241" t="s">
        <v>20</v>
      </c>
      <c r="T19" s="25"/>
      <c r="AH19" s="227"/>
      <c r="AI19" s="227"/>
    </row>
    <row r="20" spans="10:35" ht="15.75" thickBot="1" x14ac:dyDescent="0.25">
      <c r="P20" s="220" t="s">
        <v>39</v>
      </c>
      <c r="Q20" s="226">
        <v>44473</v>
      </c>
      <c r="R20" s="241" t="s">
        <v>20</v>
      </c>
      <c r="T20" s="25"/>
      <c r="AH20" s="227"/>
      <c r="AI20" s="227"/>
    </row>
    <row r="21" spans="10:35" ht="15.75" thickBot="1" x14ac:dyDescent="0.25">
      <c r="P21" s="220" t="s">
        <v>39</v>
      </c>
      <c r="Q21" s="226">
        <v>44474</v>
      </c>
      <c r="R21" s="241" t="s">
        <v>244</v>
      </c>
      <c r="T21" s="25"/>
      <c r="AH21" s="227"/>
      <c r="AI21" s="227"/>
    </row>
    <row r="22" spans="10:35" ht="15.75" thickBot="1" x14ac:dyDescent="0.25">
      <c r="P22" s="220" t="s">
        <v>39</v>
      </c>
      <c r="Q22" s="226">
        <v>44475</v>
      </c>
      <c r="R22" s="241" t="s">
        <v>244</v>
      </c>
      <c r="T22" s="25"/>
      <c r="AH22" s="227"/>
      <c r="AI22" s="227"/>
    </row>
    <row r="23" spans="10:35" ht="15.75" thickBot="1" x14ac:dyDescent="0.25">
      <c r="P23" s="220" t="s">
        <v>39</v>
      </c>
      <c r="Q23" s="226">
        <v>44476</v>
      </c>
      <c r="R23" s="241" t="s">
        <v>244</v>
      </c>
      <c r="T23" s="25"/>
      <c r="AH23" s="227"/>
      <c r="AI23" s="227"/>
    </row>
    <row r="24" spans="10:35" ht="15.75" thickBot="1" x14ac:dyDescent="0.25">
      <c r="P24" s="220" t="s">
        <v>39</v>
      </c>
      <c r="Q24" s="226">
        <v>44477</v>
      </c>
      <c r="R24" s="241" t="s">
        <v>244</v>
      </c>
      <c r="T24" s="25"/>
      <c r="AH24" s="227"/>
      <c r="AI24" s="227"/>
    </row>
    <row r="25" spans="10:35" ht="15.75" thickBot="1" x14ac:dyDescent="0.25">
      <c r="P25" s="220" t="s">
        <v>39</v>
      </c>
      <c r="Q25" s="226">
        <v>44478</v>
      </c>
      <c r="R25" s="241" t="s">
        <v>244</v>
      </c>
      <c r="T25" s="25"/>
      <c r="AH25" s="227"/>
      <c r="AI25" s="227"/>
    </row>
    <row r="26" spans="10:35" ht="15.75" thickBot="1" x14ac:dyDescent="0.25">
      <c r="P26" s="220" t="s">
        <v>39</v>
      </c>
      <c r="Q26" s="226">
        <v>44479</v>
      </c>
      <c r="R26" s="241" t="s">
        <v>20</v>
      </c>
      <c r="T26" s="25"/>
      <c r="AH26" s="227"/>
      <c r="AI26" s="227"/>
    </row>
    <row r="27" spans="10:35" ht="15.75" thickBot="1" x14ac:dyDescent="0.25">
      <c r="P27" s="220" t="s">
        <v>39</v>
      </c>
      <c r="Q27" s="226">
        <v>44480</v>
      </c>
      <c r="R27" s="241" t="s">
        <v>20</v>
      </c>
      <c r="T27" s="25"/>
      <c r="AH27" s="227"/>
      <c r="AI27" s="227"/>
    </row>
    <row r="28" spans="10:35" ht="15.75" thickBot="1" x14ac:dyDescent="0.25">
      <c r="P28" s="220" t="s">
        <v>44</v>
      </c>
      <c r="Q28" s="226">
        <v>44549</v>
      </c>
      <c r="R28" s="241" t="s">
        <v>20</v>
      </c>
      <c r="T28" s="25"/>
      <c r="AH28" s="227"/>
      <c r="AI28" s="227"/>
    </row>
    <row r="29" spans="10:35" ht="15.75" thickBot="1" x14ac:dyDescent="0.25">
      <c r="P29" s="220" t="s">
        <v>44</v>
      </c>
      <c r="Q29" s="226">
        <v>44550</v>
      </c>
      <c r="R29" s="241" t="s">
        <v>20</v>
      </c>
      <c r="T29" s="25"/>
      <c r="AH29" s="227"/>
      <c r="AI29" s="227"/>
    </row>
    <row r="30" spans="10:35" ht="15.75" thickBot="1" x14ac:dyDescent="0.25">
      <c r="P30" s="220" t="s">
        <v>44</v>
      </c>
      <c r="Q30" s="226">
        <v>44551</v>
      </c>
      <c r="R30" s="241" t="s">
        <v>244</v>
      </c>
      <c r="T30" s="25"/>
    </row>
    <row r="31" spans="10:35" ht="15.75" thickBot="1" x14ac:dyDescent="0.25">
      <c r="P31" s="220" t="s">
        <v>44</v>
      </c>
      <c r="Q31" s="226">
        <v>44552</v>
      </c>
      <c r="R31" s="241" t="s">
        <v>244</v>
      </c>
      <c r="T31" s="25"/>
    </row>
    <row r="32" spans="10:35" ht="15.75" thickBot="1" x14ac:dyDescent="0.25">
      <c r="P32" s="220" t="s">
        <v>44</v>
      </c>
      <c r="Q32" s="226">
        <v>44553</v>
      </c>
      <c r="R32" s="241" t="s">
        <v>244</v>
      </c>
      <c r="T32" s="25"/>
    </row>
    <row r="33" spans="16:20" ht="15.75" thickBot="1" x14ac:dyDescent="0.25">
      <c r="P33" s="220" t="s">
        <v>44</v>
      </c>
      <c r="Q33" s="226">
        <v>44554</v>
      </c>
      <c r="R33" s="241" t="s">
        <v>244</v>
      </c>
      <c r="T33" s="25"/>
    </row>
    <row r="34" spans="16:20" ht="15.75" thickBot="1" x14ac:dyDescent="0.25">
      <c r="P34" s="220" t="s">
        <v>44</v>
      </c>
      <c r="Q34" s="226">
        <v>44555</v>
      </c>
      <c r="R34" s="241" t="s">
        <v>244</v>
      </c>
      <c r="T34" s="25"/>
    </row>
    <row r="35" spans="16:20" ht="15.75" thickBot="1" x14ac:dyDescent="0.25">
      <c r="P35" s="220" t="s">
        <v>44</v>
      </c>
      <c r="Q35" s="226">
        <v>44556</v>
      </c>
      <c r="R35" s="241" t="s">
        <v>20</v>
      </c>
      <c r="T35" s="25"/>
    </row>
    <row r="36" spans="16:20" ht="15.75" thickBot="1" x14ac:dyDescent="0.25">
      <c r="P36" s="220" t="s">
        <v>44</v>
      </c>
      <c r="Q36" s="226">
        <v>44557</v>
      </c>
      <c r="R36" s="241" t="s">
        <v>20</v>
      </c>
      <c r="T36" s="25"/>
    </row>
    <row r="37" spans="16:20" ht="15.75" thickBot="1" x14ac:dyDescent="0.25">
      <c r="P37" s="220" t="s">
        <v>44</v>
      </c>
      <c r="Q37" s="226">
        <v>44558</v>
      </c>
      <c r="R37" s="241" t="s">
        <v>244</v>
      </c>
      <c r="T37" s="25"/>
    </row>
    <row r="38" spans="16:20" ht="15.75" thickBot="1" x14ac:dyDescent="0.25">
      <c r="P38" s="220" t="s">
        <v>44</v>
      </c>
      <c r="Q38" s="226">
        <v>44559</v>
      </c>
      <c r="R38" s="241" t="s">
        <v>244</v>
      </c>
      <c r="T38" s="25"/>
    </row>
    <row r="39" spans="16:20" ht="15.75" thickBot="1" x14ac:dyDescent="0.25">
      <c r="P39" s="221" t="s">
        <v>44</v>
      </c>
      <c r="Q39" s="226">
        <v>44560</v>
      </c>
      <c r="R39" s="241" t="s">
        <v>244</v>
      </c>
      <c r="T39" s="25"/>
    </row>
    <row r="40" spans="16:20" ht="15.75" thickBot="1" x14ac:dyDescent="0.25">
      <c r="P40" s="221" t="s">
        <v>44</v>
      </c>
      <c r="Q40" s="226">
        <v>44561</v>
      </c>
      <c r="R40" s="241" t="s">
        <v>244</v>
      </c>
      <c r="T40" s="25"/>
    </row>
    <row r="41" spans="16:20" ht="15.75" thickBot="1" x14ac:dyDescent="0.25">
      <c r="P41" s="221" t="s">
        <v>44</v>
      </c>
      <c r="Q41" s="226">
        <v>44562</v>
      </c>
      <c r="R41" s="241" t="s">
        <v>244</v>
      </c>
      <c r="T41" s="25"/>
    </row>
    <row r="42" spans="16:20" ht="15.75" thickBot="1" x14ac:dyDescent="0.25">
      <c r="P42" s="221" t="s">
        <v>44</v>
      </c>
      <c r="Q42" s="226">
        <v>44563</v>
      </c>
      <c r="R42" s="241" t="s">
        <v>20</v>
      </c>
      <c r="T42" s="25"/>
    </row>
    <row r="43" spans="16:20" ht="15.75" thickBot="1" x14ac:dyDescent="0.25">
      <c r="P43" s="221" t="s">
        <v>44</v>
      </c>
      <c r="Q43" s="226">
        <v>44564</v>
      </c>
      <c r="R43" s="241" t="s">
        <v>20</v>
      </c>
      <c r="T43" s="25"/>
    </row>
    <row r="44" spans="16:20" ht="15.75" thickBot="1" x14ac:dyDescent="0.25">
      <c r="P44" s="221" t="s">
        <v>46</v>
      </c>
      <c r="Q44" s="226">
        <v>44605</v>
      </c>
      <c r="R44" s="241" t="s">
        <v>20</v>
      </c>
      <c r="T44" s="25"/>
    </row>
    <row r="45" spans="16:20" ht="15.75" thickBot="1" x14ac:dyDescent="0.25">
      <c r="P45" s="221" t="s">
        <v>46</v>
      </c>
      <c r="Q45" s="226">
        <v>44606</v>
      </c>
      <c r="R45" s="241" t="s">
        <v>20</v>
      </c>
      <c r="T45" s="25"/>
    </row>
    <row r="46" spans="16:20" ht="15.75" thickBot="1" x14ac:dyDescent="0.25">
      <c r="P46" s="221" t="s">
        <v>46</v>
      </c>
      <c r="Q46" s="226">
        <v>44607</v>
      </c>
      <c r="R46" s="241" t="s">
        <v>244</v>
      </c>
      <c r="T46" s="25"/>
    </row>
    <row r="47" spans="16:20" ht="15.75" thickBot="1" x14ac:dyDescent="0.25">
      <c r="P47" s="221" t="s">
        <v>46</v>
      </c>
      <c r="Q47" s="226">
        <v>44608</v>
      </c>
      <c r="R47" s="241" t="s">
        <v>244</v>
      </c>
      <c r="T47" s="25"/>
    </row>
    <row r="48" spans="16:20" ht="15.75" thickBot="1" x14ac:dyDescent="0.25">
      <c r="P48" s="221" t="s">
        <v>46</v>
      </c>
      <c r="Q48" s="226">
        <v>44609</v>
      </c>
      <c r="R48" s="241" t="s">
        <v>244</v>
      </c>
      <c r="T48" s="25"/>
    </row>
    <row r="49" spans="16:20" ht="15.75" thickBot="1" x14ac:dyDescent="0.25">
      <c r="P49" s="221" t="s">
        <v>46</v>
      </c>
      <c r="Q49" s="226">
        <v>44610</v>
      </c>
      <c r="R49" s="241" t="s">
        <v>244</v>
      </c>
      <c r="T49" s="25"/>
    </row>
    <row r="50" spans="16:20" ht="15.75" thickBot="1" x14ac:dyDescent="0.25">
      <c r="P50" s="221" t="s">
        <v>46</v>
      </c>
      <c r="Q50" s="226">
        <v>44611</v>
      </c>
      <c r="R50" s="241" t="s">
        <v>244</v>
      </c>
      <c r="T50" s="25"/>
    </row>
    <row r="51" spans="16:20" ht="15.75" thickBot="1" x14ac:dyDescent="0.25">
      <c r="P51" s="221" t="s">
        <v>46</v>
      </c>
      <c r="Q51" s="226">
        <v>44612</v>
      </c>
      <c r="R51" s="241" t="s">
        <v>20</v>
      </c>
      <c r="T51" s="25"/>
    </row>
    <row r="52" spans="16:20" ht="15.75" thickBot="1" x14ac:dyDescent="0.25">
      <c r="P52" s="221" t="s">
        <v>46</v>
      </c>
      <c r="Q52" s="226">
        <v>44613</v>
      </c>
      <c r="R52" s="241" t="s">
        <v>20</v>
      </c>
      <c r="T52" s="25"/>
    </row>
    <row r="53" spans="16:20" ht="15.75" thickBot="1" x14ac:dyDescent="0.25">
      <c r="P53" s="221" t="s">
        <v>46</v>
      </c>
      <c r="Q53" s="226">
        <v>44614</v>
      </c>
      <c r="R53" s="241" t="s">
        <v>244</v>
      </c>
      <c r="T53" s="25"/>
    </row>
    <row r="54" spans="16:20" ht="15.75" thickBot="1" x14ac:dyDescent="0.25">
      <c r="P54" s="221" t="s">
        <v>46</v>
      </c>
      <c r="Q54" s="226">
        <v>44615</v>
      </c>
      <c r="R54" s="241" t="s">
        <v>244</v>
      </c>
      <c r="T54" s="25"/>
    </row>
    <row r="55" spans="16:20" ht="15.75" thickBot="1" x14ac:dyDescent="0.25">
      <c r="P55" s="221" t="s">
        <v>46</v>
      </c>
      <c r="Q55" s="226">
        <v>44616</v>
      </c>
      <c r="R55" s="241" t="s">
        <v>244</v>
      </c>
      <c r="T55" s="25"/>
    </row>
    <row r="56" spans="16:20" ht="15.75" thickBot="1" x14ac:dyDescent="0.25">
      <c r="P56" s="221" t="s">
        <v>46</v>
      </c>
      <c r="Q56" s="226">
        <v>44617</v>
      </c>
      <c r="R56" s="241" t="s">
        <v>244</v>
      </c>
      <c r="T56" s="25"/>
    </row>
    <row r="57" spans="16:20" ht="15.75" thickBot="1" x14ac:dyDescent="0.25">
      <c r="P57" s="221" t="s">
        <v>46</v>
      </c>
      <c r="Q57" s="226">
        <v>44618</v>
      </c>
      <c r="R57" s="241" t="s">
        <v>244</v>
      </c>
      <c r="T57" s="25"/>
    </row>
    <row r="58" spans="16:20" ht="15.75" thickBot="1" x14ac:dyDescent="0.25">
      <c r="P58" s="221" t="s">
        <v>46</v>
      </c>
      <c r="Q58" s="226">
        <v>44619</v>
      </c>
      <c r="R58" s="241" t="s">
        <v>20</v>
      </c>
      <c r="T58" s="25"/>
    </row>
    <row r="59" spans="16:20" ht="15.75" thickBot="1" x14ac:dyDescent="0.25">
      <c r="P59" s="221" t="s">
        <v>46</v>
      </c>
      <c r="Q59" s="226">
        <v>44620</v>
      </c>
      <c r="R59" s="241" t="s">
        <v>20</v>
      </c>
      <c r="T59" s="25"/>
    </row>
    <row r="60" spans="16:20" ht="15.75" thickBot="1" x14ac:dyDescent="0.25">
      <c r="P60" s="221" t="s">
        <v>48</v>
      </c>
      <c r="Q60" s="226">
        <v>44647</v>
      </c>
      <c r="R60" s="241" t="s">
        <v>20</v>
      </c>
      <c r="T60" s="25"/>
    </row>
    <row r="61" spans="16:20" ht="15.75" thickBot="1" x14ac:dyDescent="0.25">
      <c r="P61" s="221" t="s">
        <v>48</v>
      </c>
      <c r="Q61" s="226">
        <v>44648</v>
      </c>
      <c r="R61" s="241" t="s">
        <v>20</v>
      </c>
      <c r="T61" s="25"/>
    </row>
    <row r="62" spans="16:20" ht="15.75" thickBot="1" x14ac:dyDescent="0.25">
      <c r="P62" s="221" t="s">
        <v>48</v>
      </c>
      <c r="Q62" s="226">
        <v>44649</v>
      </c>
      <c r="R62" s="241" t="s">
        <v>244</v>
      </c>
      <c r="T62" s="25"/>
    </row>
    <row r="63" spans="16:20" ht="15.75" thickBot="1" x14ac:dyDescent="0.25">
      <c r="P63" s="221" t="s">
        <v>48</v>
      </c>
      <c r="Q63" s="226">
        <v>44650</v>
      </c>
      <c r="R63" s="241" t="s">
        <v>244</v>
      </c>
      <c r="T63" s="25"/>
    </row>
    <row r="64" spans="16:20" ht="15.75" thickBot="1" x14ac:dyDescent="0.25">
      <c r="P64" s="221" t="s">
        <v>48</v>
      </c>
      <c r="Q64" s="226">
        <v>44651</v>
      </c>
      <c r="R64" s="241" t="s">
        <v>244</v>
      </c>
      <c r="T64" s="25"/>
    </row>
    <row r="65" spans="16:20" ht="15.75" thickBot="1" x14ac:dyDescent="0.25">
      <c r="P65" s="221" t="s">
        <v>48</v>
      </c>
      <c r="Q65" s="226">
        <v>44652</v>
      </c>
      <c r="R65" s="241" t="s">
        <v>244</v>
      </c>
      <c r="T65" s="25"/>
    </row>
    <row r="66" spans="16:20" ht="15.75" thickBot="1" x14ac:dyDescent="0.25">
      <c r="P66" s="221" t="s">
        <v>48</v>
      </c>
      <c r="Q66" s="226">
        <v>44653</v>
      </c>
      <c r="R66" s="241" t="s">
        <v>244</v>
      </c>
      <c r="T66" s="25"/>
    </row>
    <row r="67" spans="16:20" ht="15.75" thickBot="1" x14ac:dyDescent="0.25">
      <c r="P67" s="221" t="s">
        <v>48</v>
      </c>
      <c r="Q67" s="226">
        <v>44654</v>
      </c>
      <c r="R67" s="241" t="s">
        <v>20</v>
      </c>
      <c r="T67" s="25"/>
    </row>
    <row r="68" spans="16:20" ht="15.75" thickBot="1" x14ac:dyDescent="0.25">
      <c r="P68" s="221" t="s">
        <v>48</v>
      </c>
      <c r="Q68" s="226">
        <v>44655</v>
      </c>
      <c r="R68" s="241" t="s">
        <v>20</v>
      </c>
      <c r="T68" s="25"/>
    </row>
    <row r="69" spans="16:20" ht="15.75" thickBot="1" x14ac:dyDescent="0.25">
      <c r="P69" s="221" t="s">
        <v>48</v>
      </c>
      <c r="Q69" s="226">
        <v>44656</v>
      </c>
      <c r="R69" s="241" t="s">
        <v>244</v>
      </c>
      <c r="T69" s="25"/>
    </row>
    <row r="70" spans="16:20" ht="15.75" thickBot="1" x14ac:dyDescent="0.25">
      <c r="P70" s="221" t="s">
        <v>48</v>
      </c>
      <c r="Q70" s="226">
        <v>44657</v>
      </c>
      <c r="R70" s="241" t="s">
        <v>244</v>
      </c>
      <c r="T70" s="25"/>
    </row>
    <row r="71" spans="16:20" ht="15.75" thickBot="1" x14ac:dyDescent="0.25">
      <c r="P71" s="221" t="s">
        <v>48</v>
      </c>
      <c r="Q71" s="226">
        <v>44658</v>
      </c>
      <c r="R71" s="241" t="s">
        <v>244</v>
      </c>
      <c r="T71" s="25"/>
    </row>
    <row r="72" spans="16:20" ht="15.75" thickBot="1" x14ac:dyDescent="0.25">
      <c r="P72" s="221" t="s">
        <v>48</v>
      </c>
      <c r="Q72" s="226">
        <v>44659</v>
      </c>
      <c r="R72" s="241" t="s">
        <v>244</v>
      </c>
      <c r="T72" s="25"/>
    </row>
    <row r="73" spans="16:20" ht="15.75" thickBot="1" x14ac:dyDescent="0.25">
      <c r="P73" s="221" t="s">
        <v>48</v>
      </c>
      <c r="Q73" s="226">
        <v>44660</v>
      </c>
      <c r="R73" s="241" t="s">
        <v>244</v>
      </c>
      <c r="T73" s="25"/>
    </row>
    <row r="74" spans="16:20" ht="15.75" thickBot="1" x14ac:dyDescent="0.25">
      <c r="P74" s="221" t="s">
        <v>48</v>
      </c>
      <c r="Q74" s="226">
        <v>44661</v>
      </c>
      <c r="R74" s="241" t="s">
        <v>20</v>
      </c>
      <c r="T74" s="25"/>
    </row>
    <row r="75" spans="16:20" ht="15.75" thickBot="1" x14ac:dyDescent="0.25">
      <c r="P75" s="221" t="s">
        <v>48</v>
      </c>
      <c r="Q75" s="226">
        <v>44662</v>
      </c>
      <c r="R75" s="241" t="s">
        <v>20</v>
      </c>
      <c r="T75" s="25"/>
    </row>
    <row r="76" spans="16:20" ht="15.75" thickBot="1" x14ac:dyDescent="0.25">
      <c r="P76" s="221" t="s">
        <v>50</v>
      </c>
      <c r="Q76" s="226">
        <v>44738</v>
      </c>
      <c r="R76" s="241" t="s">
        <v>20</v>
      </c>
      <c r="T76" s="25"/>
    </row>
    <row r="77" spans="16:20" ht="15.75" thickBot="1" x14ac:dyDescent="0.25">
      <c r="P77" s="221" t="s">
        <v>50</v>
      </c>
      <c r="Q77" s="226">
        <v>44739</v>
      </c>
      <c r="R77" s="241" t="s">
        <v>20</v>
      </c>
      <c r="T77" s="25"/>
    </row>
    <row r="78" spans="16:20" ht="15.75" thickBot="1" x14ac:dyDescent="0.25">
      <c r="P78" s="221" t="s">
        <v>50</v>
      </c>
      <c r="Q78" s="226">
        <v>44740</v>
      </c>
      <c r="R78" s="241" t="s">
        <v>244</v>
      </c>
      <c r="T78" s="25"/>
    </row>
    <row r="79" spans="16:20" ht="15.75" thickBot="1" x14ac:dyDescent="0.25">
      <c r="P79" s="221" t="s">
        <v>50</v>
      </c>
      <c r="Q79" s="226">
        <v>44741</v>
      </c>
      <c r="R79" s="241" t="s">
        <v>244</v>
      </c>
      <c r="T79" s="25"/>
    </row>
    <row r="80" spans="16:20" ht="15.75" thickBot="1" x14ac:dyDescent="0.25">
      <c r="P80" s="221" t="s">
        <v>50</v>
      </c>
      <c r="Q80" s="226">
        <v>44742</v>
      </c>
      <c r="R80" s="241" t="s">
        <v>244</v>
      </c>
      <c r="T80" s="25"/>
    </row>
    <row r="81" spans="16:20" ht="15.75" thickBot="1" x14ac:dyDescent="0.25">
      <c r="P81" s="221" t="s">
        <v>50</v>
      </c>
      <c r="Q81" s="226">
        <v>44743</v>
      </c>
      <c r="R81" s="241" t="s">
        <v>244</v>
      </c>
      <c r="T81" s="25"/>
    </row>
    <row r="82" spans="16:20" ht="15.75" thickBot="1" x14ac:dyDescent="0.25">
      <c r="P82" s="221" t="s">
        <v>50</v>
      </c>
      <c r="Q82" s="226">
        <v>44744</v>
      </c>
      <c r="R82" s="241" t="s">
        <v>244</v>
      </c>
      <c r="T82" s="25"/>
    </row>
    <row r="83" spans="16:20" ht="15.75" thickBot="1" x14ac:dyDescent="0.25">
      <c r="P83" s="221" t="s">
        <v>50</v>
      </c>
      <c r="Q83" s="226">
        <v>44745</v>
      </c>
      <c r="R83" s="241" t="s">
        <v>20</v>
      </c>
      <c r="T83" s="25"/>
    </row>
    <row r="84" spans="16:20" ht="15.75" thickBot="1" x14ac:dyDescent="0.25">
      <c r="P84" s="221" t="s">
        <v>50</v>
      </c>
      <c r="Q84" s="226">
        <v>44746</v>
      </c>
      <c r="R84" s="241" t="s">
        <v>20</v>
      </c>
      <c r="T84" s="25"/>
    </row>
    <row r="85" spans="16:20" ht="15.75" thickBot="1" x14ac:dyDescent="0.25">
      <c r="P85" s="221" t="s">
        <v>50</v>
      </c>
      <c r="Q85" s="226">
        <v>44747</v>
      </c>
      <c r="R85" s="241" t="s">
        <v>244</v>
      </c>
      <c r="T85" s="25"/>
    </row>
    <row r="86" spans="16:20" ht="15.75" thickBot="1" x14ac:dyDescent="0.25">
      <c r="P86" s="221" t="s">
        <v>50</v>
      </c>
      <c r="Q86" s="226">
        <v>44748</v>
      </c>
      <c r="R86" s="241" t="s">
        <v>244</v>
      </c>
      <c r="T86" s="25"/>
    </row>
    <row r="87" spans="16:20" ht="15.75" thickBot="1" x14ac:dyDescent="0.25">
      <c r="P87" s="221" t="s">
        <v>50</v>
      </c>
      <c r="Q87" s="226">
        <v>44749</v>
      </c>
      <c r="R87" s="241" t="s">
        <v>244</v>
      </c>
      <c r="T87" s="25"/>
    </row>
    <row r="88" spans="16:20" ht="15.75" thickBot="1" x14ac:dyDescent="0.25">
      <c r="P88" s="221" t="s">
        <v>50</v>
      </c>
      <c r="Q88" s="226">
        <v>44750</v>
      </c>
      <c r="R88" s="241" t="s">
        <v>244</v>
      </c>
      <c r="T88" s="25"/>
    </row>
    <row r="89" spans="16:20" ht="15.75" thickBot="1" x14ac:dyDescent="0.25">
      <c r="P89" s="221" t="s">
        <v>50</v>
      </c>
      <c r="Q89" s="226">
        <v>44751</v>
      </c>
      <c r="R89" s="241" t="s">
        <v>244</v>
      </c>
      <c r="T89" s="25"/>
    </row>
    <row r="90" spans="16:20" ht="15.75" thickBot="1" x14ac:dyDescent="0.25">
      <c r="P90" s="221" t="s">
        <v>50</v>
      </c>
      <c r="Q90" s="226">
        <v>44752</v>
      </c>
      <c r="R90" s="241" t="s">
        <v>20</v>
      </c>
      <c r="T90" s="25"/>
    </row>
    <row r="91" spans="16:20" ht="15.75" thickBot="1" x14ac:dyDescent="0.25">
      <c r="P91" s="221" t="s">
        <v>50</v>
      </c>
      <c r="Q91" s="226">
        <v>44753</v>
      </c>
      <c r="R91" s="241" t="s">
        <v>20</v>
      </c>
      <c r="T91" s="25"/>
    </row>
    <row r="92" spans="16:20" ht="15.75" thickBot="1" x14ac:dyDescent="0.25">
      <c r="P92" s="221" t="s">
        <v>50</v>
      </c>
      <c r="Q92" s="226">
        <v>44754</v>
      </c>
      <c r="R92" s="241" t="s">
        <v>244</v>
      </c>
      <c r="T92" s="25"/>
    </row>
    <row r="93" spans="16:20" ht="15.75" thickBot="1" x14ac:dyDescent="0.25">
      <c r="P93" s="221" t="s">
        <v>50</v>
      </c>
      <c r="Q93" s="226">
        <v>44755</v>
      </c>
      <c r="R93" s="241" t="s">
        <v>244</v>
      </c>
      <c r="T93" s="25"/>
    </row>
    <row r="94" spans="16:20" ht="15.75" thickBot="1" x14ac:dyDescent="0.25">
      <c r="P94" s="221" t="s">
        <v>50</v>
      </c>
      <c r="Q94" s="226">
        <v>44756</v>
      </c>
      <c r="R94" s="241" t="s">
        <v>244</v>
      </c>
      <c r="T94" s="25"/>
    </row>
    <row r="95" spans="16:20" ht="15.75" thickBot="1" x14ac:dyDescent="0.25">
      <c r="P95" s="221" t="s">
        <v>50</v>
      </c>
      <c r="Q95" s="226">
        <v>44757</v>
      </c>
      <c r="R95" s="241" t="s">
        <v>244</v>
      </c>
      <c r="T95" s="25"/>
    </row>
    <row r="96" spans="16:20" ht="15.75" thickBot="1" x14ac:dyDescent="0.25">
      <c r="P96" s="221" t="s">
        <v>50</v>
      </c>
      <c r="Q96" s="226">
        <v>44758</v>
      </c>
      <c r="R96" s="241" t="s">
        <v>244</v>
      </c>
      <c r="T96" s="25"/>
    </row>
    <row r="97" spans="16:20" ht="15.75" thickBot="1" x14ac:dyDescent="0.25">
      <c r="P97" s="221" t="s">
        <v>50</v>
      </c>
      <c r="Q97" s="226">
        <v>44759</v>
      </c>
      <c r="R97" s="241" t="s">
        <v>20</v>
      </c>
      <c r="T97" s="25"/>
    </row>
    <row r="98" spans="16:20" ht="15.75" thickBot="1" x14ac:dyDescent="0.25">
      <c r="P98" s="221" t="s">
        <v>50</v>
      </c>
      <c r="Q98" s="226">
        <v>44760</v>
      </c>
      <c r="R98" s="241" t="s">
        <v>20</v>
      </c>
      <c r="T98" s="25"/>
    </row>
    <row r="99" spans="16:20" ht="15.75" thickBot="1" x14ac:dyDescent="0.25">
      <c r="P99" s="221" t="s">
        <v>50</v>
      </c>
      <c r="Q99" s="226">
        <v>44761</v>
      </c>
      <c r="R99" s="241" t="s">
        <v>244</v>
      </c>
      <c r="T99" s="25"/>
    </row>
    <row r="100" spans="16:20" ht="15.75" thickBot="1" x14ac:dyDescent="0.25">
      <c r="P100" s="221" t="s">
        <v>50</v>
      </c>
      <c r="Q100" s="226">
        <v>44762</v>
      </c>
      <c r="R100" s="241" t="s">
        <v>244</v>
      </c>
      <c r="T100" s="25"/>
    </row>
    <row r="101" spans="16:20" ht="15.75" thickBot="1" x14ac:dyDescent="0.25">
      <c r="P101" s="221" t="s">
        <v>50</v>
      </c>
      <c r="Q101" s="226">
        <v>44763</v>
      </c>
      <c r="R101" s="241" t="s">
        <v>244</v>
      </c>
      <c r="T101" s="25"/>
    </row>
    <row r="102" spans="16:20" ht="15.75" thickBot="1" x14ac:dyDescent="0.25">
      <c r="P102" s="221" t="s">
        <v>50</v>
      </c>
      <c r="Q102" s="226">
        <v>44764</v>
      </c>
      <c r="R102" s="241" t="s">
        <v>244</v>
      </c>
      <c r="T102" s="25"/>
    </row>
    <row r="103" spans="16:20" ht="15.75" thickBot="1" x14ac:dyDescent="0.25">
      <c r="P103" s="221" t="s">
        <v>50</v>
      </c>
      <c r="Q103" s="226">
        <v>44765</v>
      </c>
      <c r="R103" s="241" t="s">
        <v>244</v>
      </c>
      <c r="T103" s="25"/>
    </row>
    <row r="104" spans="16:20" ht="15.75" thickBot="1" x14ac:dyDescent="0.25">
      <c r="P104" s="221" t="s">
        <v>50</v>
      </c>
      <c r="Q104" s="226">
        <v>44766</v>
      </c>
      <c r="R104" s="241" t="s">
        <v>20</v>
      </c>
      <c r="T104" s="25"/>
    </row>
    <row r="105" spans="16:20" ht="15.75" thickBot="1" x14ac:dyDescent="0.25">
      <c r="P105" s="221" t="s">
        <v>50</v>
      </c>
      <c r="Q105" s="226">
        <v>44767</v>
      </c>
      <c r="R105" s="241" t="s">
        <v>20</v>
      </c>
      <c r="T105" s="25"/>
    </row>
    <row r="106" spans="16:20" ht="15.75" thickBot="1" x14ac:dyDescent="0.25">
      <c r="P106" s="221" t="s">
        <v>50</v>
      </c>
      <c r="Q106" s="226">
        <v>44768</v>
      </c>
      <c r="R106" s="241" t="s">
        <v>244</v>
      </c>
      <c r="T106" s="25"/>
    </row>
    <row r="107" spans="16:20" ht="15.75" thickBot="1" x14ac:dyDescent="0.25">
      <c r="P107" s="221" t="s">
        <v>50</v>
      </c>
      <c r="Q107" s="226">
        <v>44769</v>
      </c>
      <c r="R107" s="241" t="s">
        <v>244</v>
      </c>
      <c r="T107" s="25"/>
    </row>
    <row r="108" spans="16:20" ht="15.75" thickBot="1" x14ac:dyDescent="0.25">
      <c r="P108" s="221" t="s">
        <v>50</v>
      </c>
      <c r="Q108" s="226">
        <v>44770</v>
      </c>
      <c r="R108" s="241" t="s">
        <v>244</v>
      </c>
      <c r="T108" s="25"/>
    </row>
    <row r="109" spans="16:20" ht="15.75" thickBot="1" x14ac:dyDescent="0.25">
      <c r="P109" s="221" t="s">
        <v>50</v>
      </c>
      <c r="Q109" s="226">
        <v>44771</v>
      </c>
      <c r="R109" s="241" t="s">
        <v>244</v>
      </c>
      <c r="T109" s="25"/>
    </row>
    <row r="110" spans="16:20" ht="15.75" thickBot="1" x14ac:dyDescent="0.25">
      <c r="P110" s="221" t="s">
        <v>50</v>
      </c>
      <c r="Q110" s="226">
        <v>44772</v>
      </c>
      <c r="R110" s="241" t="s">
        <v>244</v>
      </c>
      <c r="T110" s="25"/>
    </row>
    <row r="111" spans="16:20" x14ac:dyDescent="0.2">
      <c r="T111" s="25"/>
    </row>
    <row r="112" spans="16:20" x14ac:dyDescent="0.2">
      <c r="P112"/>
      <c r="Q112"/>
      <c r="R112"/>
      <c r="T112" s="25"/>
    </row>
    <row r="113" spans="16:20" x14ac:dyDescent="0.2">
      <c r="P113"/>
      <c r="Q113"/>
      <c r="R113"/>
      <c r="T113" s="25"/>
    </row>
    <row r="114" spans="16:20" x14ac:dyDescent="0.2">
      <c r="P114"/>
      <c r="Q114"/>
      <c r="R114"/>
      <c r="T114" s="25"/>
    </row>
    <row r="115" spans="16:20" x14ac:dyDescent="0.2">
      <c r="P115"/>
      <c r="Q115"/>
      <c r="R115"/>
      <c r="T115" s="25"/>
    </row>
    <row r="116" spans="16:20" x14ac:dyDescent="0.2">
      <c r="P116"/>
      <c r="Q116"/>
      <c r="R116"/>
      <c r="T116" s="25"/>
    </row>
    <row r="117" spans="16:20" x14ac:dyDescent="0.2">
      <c r="P117"/>
      <c r="Q117"/>
      <c r="R117"/>
      <c r="T117" s="25"/>
    </row>
    <row r="118" spans="16:20" x14ac:dyDescent="0.2">
      <c r="P118"/>
      <c r="Q118"/>
      <c r="R118"/>
      <c r="T118" s="25"/>
    </row>
    <row r="119" spans="16:20" x14ac:dyDescent="0.2">
      <c r="P119"/>
      <c r="Q119"/>
      <c r="R119"/>
      <c r="T119" s="25"/>
    </row>
    <row r="120" spans="16:20" x14ac:dyDescent="0.2">
      <c r="P120"/>
      <c r="Q120"/>
      <c r="R120"/>
      <c r="T120" s="25"/>
    </row>
    <row r="121" spans="16:20" x14ac:dyDescent="0.2">
      <c r="P121"/>
      <c r="Q121"/>
      <c r="R121"/>
      <c r="T121" s="25"/>
    </row>
    <row r="122" spans="16:20" x14ac:dyDescent="0.2">
      <c r="P122"/>
      <c r="Q122"/>
      <c r="R122"/>
      <c r="T122" s="25"/>
    </row>
    <row r="123" spans="16:20" x14ac:dyDescent="0.2">
      <c r="P123"/>
      <c r="Q123"/>
      <c r="R123"/>
      <c r="T123" s="25"/>
    </row>
    <row r="124" spans="16:20" x14ac:dyDescent="0.2">
      <c r="P124"/>
      <c r="Q124"/>
      <c r="R124"/>
      <c r="T124" s="25"/>
    </row>
    <row r="125" spans="16:20" x14ac:dyDescent="0.2">
      <c r="P125"/>
      <c r="Q125"/>
      <c r="R125"/>
      <c r="T125" s="25"/>
    </row>
    <row r="126" spans="16:20" x14ac:dyDescent="0.2">
      <c r="P126"/>
      <c r="Q126"/>
      <c r="R126"/>
      <c r="T126" s="25"/>
    </row>
    <row r="127" spans="16:20" x14ac:dyDescent="0.2">
      <c r="P127"/>
      <c r="Q127"/>
      <c r="R127"/>
      <c r="T127" s="25"/>
    </row>
    <row r="128" spans="16:20" x14ac:dyDescent="0.2">
      <c r="P128"/>
      <c r="Q128"/>
      <c r="R128"/>
      <c r="T128" s="25"/>
    </row>
    <row r="129" spans="16:20" x14ac:dyDescent="0.2">
      <c r="P129"/>
      <c r="Q129"/>
      <c r="R129"/>
      <c r="T129" s="25"/>
    </row>
    <row r="130" spans="16:20" x14ac:dyDescent="0.2">
      <c r="P130"/>
      <c r="Q130"/>
      <c r="R130"/>
      <c r="T130" s="25"/>
    </row>
    <row r="131" spans="16:20" x14ac:dyDescent="0.2">
      <c r="P131"/>
      <c r="Q131"/>
      <c r="R131"/>
      <c r="T131" s="25"/>
    </row>
    <row r="132" spans="16:20" x14ac:dyDescent="0.2">
      <c r="P132"/>
      <c r="Q132"/>
      <c r="R132"/>
      <c r="T132" s="25"/>
    </row>
    <row r="133" spans="16:20" x14ac:dyDescent="0.2">
      <c r="P133"/>
      <c r="Q133"/>
      <c r="R133"/>
      <c r="T133" s="25"/>
    </row>
    <row r="134" spans="16:20" x14ac:dyDescent="0.2">
      <c r="P134"/>
      <c r="Q134"/>
      <c r="R134"/>
      <c r="T134" s="25"/>
    </row>
    <row r="135" spans="16:20" x14ac:dyDescent="0.2">
      <c r="P135"/>
      <c r="Q135"/>
      <c r="R135"/>
      <c r="T135" s="25"/>
    </row>
    <row r="136" spans="16:20" x14ac:dyDescent="0.2">
      <c r="P136"/>
      <c r="Q136"/>
      <c r="R136"/>
      <c r="T136" s="25"/>
    </row>
    <row r="137" spans="16:20" x14ac:dyDescent="0.2">
      <c r="P137"/>
      <c r="Q137"/>
      <c r="R137"/>
      <c r="T137" s="25"/>
    </row>
    <row r="138" spans="16:20" x14ac:dyDescent="0.2">
      <c r="P138"/>
      <c r="Q138"/>
      <c r="R138"/>
      <c r="T138" s="25"/>
    </row>
    <row r="139" spans="16:20" x14ac:dyDescent="0.2">
      <c r="P139"/>
      <c r="Q139"/>
      <c r="R139"/>
      <c r="T139" s="25"/>
    </row>
    <row r="140" spans="16:20" x14ac:dyDescent="0.2">
      <c r="P140"/>
      <c r="Q140"/>
      <c r="R140"/>
      <c r="T140" s="25"/>
    </row>
    <row r="141" spans="16:20" x14ac:dyDescent="0.2">
      <c r="P141"/>
      <c r="Q141"/>
      <c r="R141"/>
      <c r="T141" s="25"/>
    </row>
    <row r="142" spans="16:20" x14ac:dyDescent="0.2">
      <c r="P142"/>
      <c r="Q142"/>
      <c r="R142"/>
      <c r="T142" s="25"/>
    </row>
    <row r="143" spans="16:20" x14ac:dyDescent="0.2">
      <c r="P143"/>
      <c r="Q143"/>
      <c r="R143"/>
      <c r="T143" s="25"/>
    </row>
    <row r="144" spans="16:20" x14ac:dyDescent="0.2">
      <c r="P144"/>
      <c r="Q144"/>
      <c r="R144"/>
      <c r="T144" s="25"/>
    </row>
    <row r="145" spans="16:20" x14ac:dyDescent="0.2">
      <c r="P145"/>
      <c r="Q145"/>
      <c r="R145"/>
      <c r="T145" s="25"/>
    </row>
    <row r="146" spans="16:20" x14ac:dyDescent="0.2">
      <c r="P146"/>
      <c r="Q146"/>
      <c r="R146"/>
      <c r="T146" s="25"/>
    </row>
    <row r="147" spans="16:20" x14ac:dyDescent="0.2">
      <c r="P147"/>
      <c r="Q147"/>
      <c r="R147"/>
      <c r="T147" s="25"/>
    </row>
    <row r="148" spans="16:20" x14ac:dyDescent="0.2">
      <c r="P148"/>
      <c r="Q148"/>
      <c r="R148"/>
      <c r="T148" s="25"/>
    </row>
    <row r="149" spans="16:20" x14ac:dyDescent="0.2">
      <c r="P149"/>
      <c r="Q149"/>
      <c r="R149"/>
      <c r="T149" s="25"/>
    </row>
    <row r="150" spans="16:20" x14ac:dyDescent="0.2">
      <c r="P150"/>
      <c r="Q150"/>
      <c r="R150"/>
      <c r="T150" s="25"/>
    </row>
    <row r="151" spans="16:20" x14ac:dyDescent="0.2">
      <c r="T151" s="25"/>
    </row>
    <row r="152" spans="16:20" x14ac:dyDescent="0.2">
      <c r="T152" s="25"/>
    </row>
    <row r="153" spans="16:20" x14ac:dyDescent="0.2">
      <c r="T153" s="25"/>
    </row>
    <row r="154" spans="16:20" x14ac:dyDescent="0.2">
      <c r="T154" s="25"/>
    </row>
    <row r="155" spans="16:20" x14ac:dyDescent="0.2">
      <c r="T155" s="25"/>
    </row>
    <row r="156" spans="16:20" x14ac:dyDescent="0.2">
      <c r="T156" s="25"/>
    </row>
    <row r="157" spans="16:20" x14ac:dyDescent="0.2">
      <c r="T157" s="25"/>
    </row>
    <row r="158" spans="16:20" x14ac:dyDescent="0.2">
      <c r="T158" s="25"/>
    </row>
    <row r="159" spans="16:20" x14ac:dyDescent="0.2">
      <c r="T159" s="25"/>
    </row>
    <row r="160" spans="16:20" x14ac:dyDescent="0.2">
      <c r="T160" s="25"/>
    </row>
    <row r="161" spans="20:20" x14ac:dyDescent="0.2">
      <c r="T161" s="25"/>
    </row>
    <row r="162" spans="20:20" x14ac:dyDescent="0.2">
      <c r="T162" s="25"/>
    </row>
    <row r="163" spans="20:20" x14ac:dyDescent="0.2">
      <c r="T163" s="25"/>
    </row>
    <row r="164" spans="20:20" x14ac:dyDescent="0.2">
      <c r="T164" s="25"/>
    </row>
    <row r="165" spans="20:20" x14ac:dyDescent="0.2">
      <c r="T165" s="25"/>
    </row>
    <row r="166" spans="20:20" x14ac:dyDescent="0.2">
      <c r="T166" s="25"/>
    </row>
    <row r="167" spans="20:20" x14ac:dyDescent="0.2">
      <c r="T167" s="25"/>
    </row>
    <row r="168" spans="20:20" x14ac:dyDescent="0.2">
      <c r="T168" s="25"/>
    </row>
    <row r="169" spans="20:20" x14ac:dyDescent="0.2">
      <c r="T169" s="25"/>
    </row>
    <row r="170" spans="20:20" x14ac:dyDescent="0.2">
      <c r="T170" s="25"/>
    </row>
    <row r="171" spans="20:20" x14ac:dyDescent="0.2">
      <c r="T171" s="25"/>
    </row>
    <row r="172" spans="20:20" x14ac:dyDescent="0.2">
      <c r="T172" s="25"/>
    </row>
    <row r="173" spans="20:20" x14ac:dyDescent="0.2">
      <c r="T173" s="25"/>
    </row>
    <row r="174" spans="20:20" x14ac:dyDescent="0.2">
      <c r="T174" s="25"/>
    </row>
    <row r="175" spans="20:20" x14ac:dyDescent="0.2">
      <c r="T175" s="25"/>
    </row>
    <row r="176" spans="20:20" x14ac:dyDescent="0.2">
      <c r="T176" s="25"/>
    </row>
    <row r="177" spans="20:20" x14ac:dyDescent="0.2">
      <c r="T177" s="25"/>
    </row>
    <row r="178" spans="20:20" x14ac:dyDescent="0.2">
      <c r="T178" s="25"/>
    </row>
    <row r="179" spans="20:20" x14ac:dyDescent="0.2">
      <c r="T179" s="25"/>
    </row>
    <row r="180" spans="20:20" x14ac:dyDescent="0.2">
      <c r="T180" s="25"/>
    </row>
    <row r="181" spans="20:20" x14ac:dyDescent="0.2">
      <c r="T181" s="25"/>
    </row>
    <row r="182" spans="20:20" x14ac:dyDescent="0.2">
      <c r="T182" s="25"/>
    </row>
    <row r="183" spans="20:20" x14ac:dyDescent="0.2">
      <c r="T183" s="25"/>
    </row>
    <row r="184" spans="20:20" x14ac:dyDescent="0.2">
      <c r="T184" s="25"/>
    </row>
    <row r="185" spans="20:20" x14ac:dyDescent="0.2">
      <c r="T185" s="25"/>
    </row>
    <row r="186" spans="20:20" x14ac:dyDescent="0.2">
      <c r="T186" s="25"/>
    </row>
    <row r="187" spans="20:20" x14ac:dyDescent="0.2">
      <c r="T187" s="25"/>
    </row>
    <row r="188" spans="20:20" x14ac:dyDescent="0.2">
      <c r="T188" s="25"/>
    </row>
    <row r="189" spans="20:20" x14ac:dyDescent="0.2">
      <c r="T189" s="25"/>
    </row>
    <row r="190" spans="20:20" x14ac:dyDescent="0.2">
      <c r="T190" s="25"/>
    </row>
    <row r="191" spans="20:20" x14ac:dyDescent="0.2">
      <c r="T191" s="25"/>
    </row>
    <row r="192" spans="20:20" x14ac:dyDescent="0.2">
      <c r="T192" s="25"/>
    </row>
    <row r="193" spans="20:20" x14ac:dyDescent="0.2">
      <c r="T193" s="25"/>
    </row>
    <row r="194" spans="20:20" x14ac:dyDescent="0.2">
      <c r="T194" s="25"/>
    </row>
    <row r="195" spans="20:20" x14ac:dyDescent="0.2">
      <c r="T195" s="25"/>
    </row>
    <row r="196" spans="20:20" x14ac:dyDescent="0.2">
      <c r="T196" s="25"/>
    </row>
    <row r="197" spans="20:20" x14ac:dyDescent="0.2">
      <c r="T197" s="25"/>
    </row>
    <row r="198" spans="20:20" x14ac:dyDescent="0.2">
      <c r="T198" s="25"/>
    </row>
    <row r="199" spans="20:20" x14ac:dyDescent="0.2">
      <c r="T199" s="25"/>
    </row>
    <row r="200" spans="20:20" x14ac:dyDescent="0.2">
      <c r="T200" s="25"/>
    </row>
    <row r="201" spans="20:20" x14ac:dyDescent="0.2">
      <c r="T201" s="25"/>
    </row>
    <row r="202" spans="20:20" x14ac:dyDescent="0.2">
      <c r="T202" s="25"/>
    </row>
    <row r="203" spans="20:20" x14ac:dyDescent="0.2">
      <c r="T203" s="25"/>
    </row>
    <row r="204" spans="20:20" x14ac:dyDescent="0.2">
      <c r="T204" s="25"/>
    </row>
    <row r="205" spans="20:20" x14ac:dyDescent="0.2">
      <c r="T205" s="25"/>
    </row>
    <row r="206" spans="20:20" x14ac:dyDescent="0.2">
      <c r="T206" s="25"/>
    </row>
    <row r="207" spans="20:20" x14ac:dyDescent="0.2">
      <c r="T207" s="25"/>
    </row>
    <row r="208" spans="20:20" x14ac:dyDescent="0.2">
      <c r="T208" s="25"/>
    </row>
    <row r="209" spans="20:20" x14ac:dyDescent="0.2">
      <c r="T209" s="25"/>
    </row>
    <row r="210" spans="20:20" x14ac:dyDescent="0.2">
      <c r="T210" s="25"/>
    </row>
    <row r="211" spans="20:20" x14ac:dyDescent="0.2">
      <c r="T211" s="25"/>
    </row>
    <row r="212" spans="20:20" x14ac:dyDescent="0.2">
      <c r="T212" s="25"/>
    </row>
    <row r="213" spans="20:20" x14ac:dyDescent="0.2">
      <c r="T213" s="25"/>
    </row>
    <row r="214" spans="20:20" x14ac:dyDescent="0.2">
      <c r="T214" s="25"/>
    </row>
    <row r="215" spans="20:20" x14ac:dyDescent="0.2">
      <c r="T215" s="25"/>
    </row>
    <row r="216" spans="20:20" x14ac:dyDescent="0.2">
      <c r="T216" s="25"/>
    </row>
    <row r="217" spans="20:20" x14ac:dyDescent="0.2">
      <c r="T217" s="25"/>
    </row>
    <row r="218" spans="20:20" x14ac:dyDescent="0.2">
      <c r="T218" s="25"/>
    </row>
    <row r="219" spans="20:20" x14ac:dyDescent="0.2">
      <c r="T219" s="25"/>
    </row>
    <row r="220" spans="20:20" x14ac:dyDescent="0.2">
      <c r="T220" s="25"/>
    </row>
    <row r="221" spans="20:20" x14ac:dyDescent="0.2">
      <c r="T221" s="25"/>
    </row>
    <row r="222" spans="20:20" x14ac:dyDescent="0.2">
      <c r="T222" s="25"/>
    </row>
    <row r="223" spans="20:20" x14ac:dyDescent="0.2">
      <c r="T223" s="25"/>
    </row>
    <row r="224" spans="20:20" x14ac:dyDescent="0.2">
      <c r="T224" s="25"/>
    </row>
    <row r="225" spans="20:20" x14ac:dyDescent="0.2">
      <c r="T225" s="25"/>
    </row>
    <row r="226" spans="20:20" x14ac:dyDescent="0.2">
      <c r="T226" s="25"/>
    </row>
    <row r="227" spans="20:20" x14ac:dyDescent="0.2">
      <c r="T227" s="25"/>
    </row>
    <row r="228" spans="20:20" x14ac:dyDescent="0.2">
      <c r="T228" s="25"/>
    </row>
    <row r="229" spans="20:20" x14ac:dyDescent="0.2">
      <c r="T229" s="25"/>
    </row>
    <row r="230" spans="20:20" x14ac:dyDescent="0.2">
      <c r="T230" s="25"/>
    </row>
    <row r="231" spans="20:20" x14ac:dyDescent="0.2">
      <c r="T231" s="25"/>
    </row>
    <row r="232" spans="20:20" x14ac:dyDescent="0.2">
      <c r="T232" s="25"/>
    </row>
    <row r="233" spans="20:20" x14ac:dyDescent="0.2">
      <c r="T233" s="25"/>
    </row>
    <row r="234" spans="20:20" x14ac:dyDescent="0.2">
      <c r="T234" s="25"/>
    </row>
    <row r="235" spans="20:20" x14ac:dyDescent="0.2">
      <c r="T235" s="25"/>
    </row>
    <row r="236" spans="20:20" x14ac:dyDescent="0.2">
      <c r="T236" s="25"/>
    </row>
    <row r="237" spans="20:20" x14ac:dyDescent="0.2">
      <c r="T237" s="25"/>
    </row>
    <row r="238" spans="20:20" x14ac:dyDescent="0.2">
      <c r="T238" s="25"/>
    </row>
    <row r="239" spans="20:20" x14ac:dyDescent="0.2">
      <c r="T239" s="25"/>
    </row>
    <row r="240" spans="20:20" x14ac:dyDescent="0.2">
      <c r="T240" s="25"/>
    </row>
    <row r="241" spans="20:20" x14ac:dyDescent="0.2">
      <c r="T241" s="25"/>
    </row>
    <row r="242" spans="20:20" x14ac:dyDescent="0.2">
      <c r="T242" s="25"/>
    </row>
    <row r="243" spans="20:20" x14ac:dyDescent="0.2">
      <c r="T243" s="25"/>
    </row>
    <row r="244" spans="20:20" x14ac:dyDescent="0.2">
      <c r="T244" s="25"/>
    </row>
    <row r="245" spans="20:20" x14ac:dyDescent="0.2">
      <c r="T245" s="25"/>
    </row>
    <row r="246" spans="20:20" x14ac:dyDescent="0.2">
      <c r="T246" s="25"/>
    </row>
    <row r="247" spans="20:20" x14ac:dyDescent="0.2">
      <c r="T247" s="25"/>
    </row>
    <row r="248" spans="20:20" x14ac:dyDescent="0.2">
      <c r="T248" s="25"/>
    </row>
    <row r="249" spans="20:20" x14ac:dyDescent="0.2">
      <c r="T249" s="25"/>
    </row>
    <row r="250" spans="20:20" x14ac:dyDescent="0.2">
      <c r="T250" s="25"/>
    </row>
    <row r="251" spans="20:20" x14ac:dyDescent="0.2">
      <c r="T251" s="25"/>
    </row>
    <row r="252" spans="20:20" x14ac:dyDescent="0.2">
      <c r="T252" s="25"/>
    </row>
  </sheetData>
  <mergeCells count="7">
    <mergeCell ref="AB2:AC2"/>
    <mergeCell ref="AD2:AD3"/>
    <mergeCell ref="A1:A16"/>
    <mergeCell ref="AA1:AA16"/>
    <mergeCell ref="AK1:AK16"/>
    <mergeCell ref="AB1:AD1"/>
    <mergeCell ref="E1:F1"/>
  </mergeCells>
  <hyperlinks>
    <hyperlink ref="C1" r:id="rId1" xr:uid="{00000000-0004-0000-0100-000000000000}"/>
  </hyperlinks>
  <pageMargins left="0.78740157499999996" right="0.78740157499999996" top="0.984251969" bottom="0.984251969" header="0.4921259845" footer="0.4921259845"/>
  <pageSetup paperSize="9" orientation="portrait" r:id="rId2"/>
  <headerFooter alignWithMargins="0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Tabelle22">
    <tabColor rgb="FFFFC000"/>
  </sheetPr>
  <dimension ref="A1:M44"/>
  <sheetViews>
    <sheetView workbookViewId="0">
      <selection activeCell="B26" sqref="B26"/>
    </sheetView>
  </sheetViews>
  <sheetFormatPr baseColWidth="10" defaultColWidth="11.5546875" defaultRowHeight="12.75" x14ac:dyDescent="0.2"/>
  <cols>
    <col min="1" max="1" width="41.77734375" style="3" bestFit="1" customWidth="1"/>
    <col min="2" max="2" width="23" style="3" bestFit="1" customWidth="1"/>
    <col min="3" max="5" width="13.109375" style="3" customWidth="1"/>
    <col min="6" max="6" width="11.5546875" style="3"/>
    <col min="7" max="7" width="8.21875" style="3" customWidth="1"/>
    <col min="8" max="14" width="8.77734375" style="3" customWidth="1"/>
    <col min="15" max="16384" width="11.5546875" style="3"/>
  </cols>
  <sheetData>
    <row r="1" spans="1:10" x14ac:dyDescent="0.2">
      <c r="A1" s="5" t="s">
        <v>110</v>
      </c>
    </row>
    <row r="2" spans="1:10" x14ac:dyDescent="0.2">
      <c r="A2" s="6" t="s">
        <v>10</v>
      </c>
      <c r="B2" s="7">
        <f>+Aufgabenplanung!B4</f>
        <v>0</v>
      </c>
    </row>
    <row r="3" spans="1:10" x14ac:dyDescent="0.2">
      <c r="A3" s="6" t="s">
        <v>111</v>
      </c>
      <c r="B3" s="8" t="str">
        <f>+Aufgabenplanung!B6</f>
        <v>2025/2026</v>
      </c>
    </row>
    <row r="4" spans="1:10" x14ac:dyDescent="0.2">
      <c r="A4" s="6" t="s">
        <v>112</v>
      </c>
      <c r="B4" s="9">
        <f>+Aufgabenplanung!B16</f>
        <v>1881.6</v>
      </c>
    </row>
    <row r="5" spans="1:10" x14ac:dyDescent="0.2">
      <c r="A5" s="6" t="s">
        <v>113</v>
      </c>
      <c r="B5" s="10">
        <f>+Grundlagen!J3</f>
        <v>37.200000000000003</v>
      </c>
    </row>
    <row r="6" spans="1:10" x14ac:dyDescent="0.2">
      <c r="A6" s="6" t="s">
        <v>114</v>
      </c>
      <c r="B6" s="10">
        <f>+Grundlagen!H3</f>
        <v>7.6</v>
      </c>
    </row>
    <row r="7" spans="1:10" x14ac:dyDescent="0.2">
      <c r="A7" s="33" t="s">
        <v>169</v>
      </c>
      <c r="B7" s="10">
        <f>+Aufgabenplanung!B17</f>
        <v>0</v>
      </c>
    </row>
    <row r="8" spans="1:10" x14ac:dyDescent="0.2">
      <c r="A8" s="33" t="s">
        <v>72</v>
      </c>
      <c r="B8" s="10">
        <f>Aufgabenplanung!$B$20</f>
        <v>1881.6</v>
      </c>
    </row>
    <row r="9" spans="1:10" x14ac:dyDescent="0.2">
      <c r="A9" s="6" t="s">
        <v>76</v>
      </c>
      <c r="B9" s="81">
        <f>IFERROR(Aufgabenplanung!B25,0)</f>
        <v>0</v>
      </c>
      <c r="C9" s="79" t="str">
        <f>IFERROR(IF(HLOOKUP(B2,Dropdowns!1:5,2,0)=0,"",HLOOKUP(B2,Dropdowns!1:5,2,0)),"")</f>
        <v/>
      </c>
      <c r="D9" s="79" t="str">
        <f>IFERROR(IF(HLOOKUP(B2,Dropdowns!1:5,3,0)=0,"",HLOOKUP(B2,Dropdowns!1:5,3,0)),"")</f>
        <v/>
      </c>
      <c r="E9" s="79" t="str">
        <f>IFERROR(IF(HLOOKUP(B2,Dropdowns!1:5,4,0)=0,"",HLOOKUP(B2,Dropdowns!1:5,4,0)),"")</f>
        <v/>
      </c>
      <c r="F9" s="79" t="str">
        <f>IFERROR(IF(HLOOKUP(B2,Dropdowns!1:5,5,0)=0,"",HLOOKUP(B2,Dropdowns!1:5,5,0)),"")</f>
        <v/>
      </c>
    </row>
    <row r="10" spans="1:10" x14ac:dyDescent="0.2">
      <c r="A10" s="6" t="s">
        <v>77</v>
      </c>
      <c r="B10" s="81">
        <f>IFERROR(Aufgabenplanung!B26,0)</f>
        <v>0</v>
      </c>
      <c r="C10" s="79">
        <f>VLOOKUP(C9,Aufgabenplanung!$E:$G,2,0)</f>
        <v>0</v>
      </c>
      <c r="D10" s="79">
        <f>VLOOKUP(D9,Aufgabenplanung!$E:$G,2,0)</f>
        <v>0</v>
      </c>
      <c r="E10" s="79">
        <f>VLOOKUP(E9,Aufgabenplanung!$E:$G,2,0)</f>
        <v>0</v>
      </c>
      <c r="F10" s="79">
        <f>VLOOKUP(F9,Aufgabenplanung!$E:$G,2,0)</f>
        <v>0</v>
      </c>
      <c r="H10" s="78"/>
      <c r="J10" s="101"/>
    </row>
    <row r="11" spans="1:10" x14ac:dyDescent="0.2">
      <c r="A11" s="6" t="s">
        <v>78</v>
      </c>
      <c r="B11" s="81">
        <f>Aufgabenplanung!B27+Aufgabenplanung!B28</f>
        <v>0</v>
      </c>
      <c r="C11" s="79">
        <f>VLOOKUP(C9,Aufgabenplanung!$E:$G,3,0)+VLOOKUP(C9,Aufgabenplanung!$E:$H,4,0)</f>
        <v>0</v>
      </c>
      <c r="D11" s="79">
        <f>VLOOKUP(D9,Aufgabenplanung!$E:$G,3,0)+VLOOKUP(D9,Aufgabenplanung!$E:$H,4,0)</f>
        <v>0</v>
      </c>
      <c r="E11" s="79">
        <f>VLOOKUP(E9,Aufgabenplanung!$E:$G,3,0)+VLOOKUP(E9,Aufgabenplanung!$E:$H,4,0)</f>
        <v>0</v>
      </c>
      <c r="F11" s="79">
        <f>VLOOKUP(F9,Aufgabenplanung!$E:$G,3,0)+VLOOKUP(F9,Aufgabenplanung!$E:$H,4,0)</f>
        <v>0</v>
      </c>
      <c r="H11" s="78"/>
    </row>
    <row r="12" spans="1:10" x14ac:dyDescent="0.2">
      <c r="A12" s="33" t="s">
        <v>199</v>
      </c>
      <c r="B12" s="81">
        <f>IF(C9="",B10*$B$5*0.75,"")</f>
        <v>0</v>
      </c>
      <c r="C12" s="79">
        <f>+C10*$B$5*0.75</f>
        <v>0</v>
      </c>
      <c r="D12" s="79">
        <f>+D10*$B$5*0.75</f>
        <v>0</v>
      </c>
      <c r="E12" s="79">
        <f>+E10*$B$5*0.75</f>
        <v>0</v>
      </c>
      <c r="F12" s="79">
        <f>+F10*$B$5*0.75</f>
        <v>0</v>
      </c>
    </row>
    <row r="13" spans="1:10" x14ac:dyDescent="0.2">
      <c r="A13" s="33" t="s">
        <v>198</v>
      </c>
      <c r="B13" s="82">
        <f>IFERROR(IF(C9="",B12/$B$4,""),0)</f>
        <v>0</v>
      </c>
      <c r="C13" s="80">
        <f>IFERROR(C12/$B$4,0)</f>
        <v>0</v>
      </c>
      <c r="D13" s="80">
        <f>IFERROR(D12/$B$4,0)</f>
        <v>0</v>
      </c>
      <c r="E13" s="80">
        <f>IFERROR(E12/$B$4,0)</f>
        <v>0</v>
      </c>
      <c r="F13" s="80">
        <f>IFERROR(F12/$B$4,0)</f>
        <v>0</v>
      </c>
    </row>
    <row r="14" spans="1:10" x14ac:dyDescent="0.2">
      <c r="A14" s="33" t="s">
        <v>197</v>
      </c>
      <c r="B14" s="82">
        <f>IF(C9="",IFERROR(VLOOKUP($B$2&amp;B$9,Grundlagen!$AG$2:$AJ$14,3,0)*B10/B9,0),"")</f>
        <v>0</v>
      </c>
      <c r="C14" s="80">
        <f>IFERROR(VLOOKUP($B$2&amp;C$9,Grundlagen!$AG$2:$AJ$14,3,0)*C10/C9,0)</f>
        <v>0</v>
      </c>
      <c r="D14" s="80">
        <f>IFERROR(VLOOKUP($B$2&amp;D$9,Grundlagen!$AG$2:$AJ$14,3,0)*D10/D9,0)</f>
        <v>0</v>
      </c>
      <c r="E14" s="80">
        <f>IFERROR(VLOOKUP($B$2&amp;E$9,Grundlagen!$AG$2:$AJ$14,3,0)*E10/E9,0)</f>
        <v>0</v>
      </c>
      <c r="F14" s="80">
        <f>IFERROR(VLOOKUP($B$2&amp;F$9,Grundlagen!$AG$2:$AJ$14,3,0)*F10/F9,0)</f>
        <v>0</v>
      </c>
    </row>
    <row r="15" spans="1:10" x14ac:dyDescent="0.2">
      <c r="A15" s="33" t="s">
        <v>200</v>
      </c>
      <c r="B15" s="81">
        <f>IF(C9="",IFERROR(B14*$B$4,0),"")</f>
        <v>0</v>
      </c>
      <c r="C15" s="79">
        <f>IFERROR(C14*$B$4,0)</f>
        <v>0</v>
      </c>
      <c r="D15" s="79">
        <f t="shared" ref="D15:F15" si="0">IFERROR(D14*$B$4,0)</f>
        <v>0</v>
      </c>
      <c r="E15" s="79">
        <f t="shared" si="0"/>
        <v>0</v>
      </c>
      <c r="F15" s="79">
        <f t="shared" si="0"/>
        <v>0</v>
      </c>
    </row>
    <row r="16" spans="1:10" ht="15" x14ac:dyDescent="0.2">
      <c r="A16" s="33" t="s">
        <v>205</v>
      </c>
      <c r="B16" s="86">
        <f>IFERROR(IF(C9="",$B$7*B10/B9,""),0)</f>
        <v>0</v>
      </c>
      <c r="C16" s="86">
        <f>IFERROR($B$7*C10/C9,0)</f>
        <v>0</v>
      </c>
      <c r="D16" s="86">
        <f t="shared" ref="D16:F16" si="1">IFERROR($B$7*D10/D9,0)</f>
        <v>0</v>
      </c>
      <c r="E16" s="86">
        <f t="shared" si="1"/>
        <v>0</v>
      </c>
      <c r="F16" s="86">
        <f t="shared" si="1"/>
        <v>0</v>
      </c>
      <c r="I16" s="4"/>
    </row>
    <row r="17" spans="1:13" x14ac:dyDescent="0.2">
      <c r="A17" s="33" t="s">
        <v>206</v>
      </c>
      <c r="B17" s="87">
        <f>IFERROR(B14*B16/B15,0)</f>
        <v>0</v>
      </c>
      <c r="C17" s="87">
        <f>IFERROR(C14*C16/C15,0)</f>
        <v>0</v>
      </c>
      <c r="D17" s="87">
        <f t="shared" ref="D17:F17" si="2">IFERROR(D14*D16/D15,0)</f>
        <v>0</v>
      </c>
      <c r="E17" s="87">
        <f t="shared" si="2"/>
        <v>0</v>
      </c>
      <c r="F17" s="87">
        <f t="shared" si="2"/>
        <v>0</v>
      </c>
    </row>
    <row r="18" spans="1:13" x14ac:dyDescent="0.2">
      <c r="A18" s="33" t="s">
        <v>201</v>
      </c>
      <c r="B18" s="81">
        <f>IF(C9="",IFERROR(B10/B9-B13-B14,0),"")</f>
        <v>0</v>
      </c>
      <c r="C18" s="80">
        <f>IFERROR(C10/C9-C13-C14,0)</f>
        <v>0</v>
      </c>
      <c r="D18" s="80">
        <f>IFERROR(D10/D9-D13-D14,0)</f>
        <v>0</v>
      </c>
      <c r="E18" s="80">
        <f t="shared" ref="E18:F18" si="3">IFERROR(E10/E9-E13-E14,0)</f>
        <v>0</v>
      </c>
      <c r="F18" s="80">
        <f t="shared" si="3"/>
        <v>0</v>
      </c>
    </row>
    <row r="19" spans="1:13" x14ac:dyDescent="0.2">
      <c r="A19" s="33" t="s">
        <v>202</v>
      </c>
      <c r="B19" s="81">
        <f>IF(C9="",B18*$B$4,"")</f>
        <v>0</v>
      </c>
      <c r="C19" s="79">
        <f>+C18*$B$4</f>
        <v>0</v>
      </c>
      <c r="D19" s="79">
        <f>+D18*$B$4</f>
        <v>0</v>
      </c>
      <c r="E19" s="79">
        <f t="shared" ref="E19:F19" si="4">+E18*$B$4</f>
        <v>0</v>
      </c>
      <c r="F19" s="79">
        <f t="shared" si="4"/>
        <v>0</v>
      </c>
    </row>
    <row r="20" spans="1:13" x14ac:dyDescent="0.2">
      <c r="A20" s="33" t="s">
        <v>203</v>
      </c>
      <c r="B20" s="81"/>
      <c r="C20" s="79">
        <f>IFERROR(C11/C9*$B$8,0)</f>
        <v>0</v>
      </c>
      <c r="D20" s="79">
        <f t="shared" ref="D20:F20" si="5">IFERROR(D11/D9*$B$8,0)</f>
        <v>0</v>
      </c>
      <c r="E20" s="79">
        <f t="shared" si="5"/>
        <v>0</v>
      </c>
      <c r="F20" s="79">
        <f t="shared" si="5"/>
        <v>0</v>
      </c>
    </row>
    <row r="21" spans="1:13" x14ac:dyDescent="0.2">
      <c r="A21" s="33" t="s">
        <v>204</v>
      </c>
      <c r="B21" s="81"/>
      <c r="C21" s="80">
        <f>IFERROR(C20/$B$4,0)</f>
        <v>0</v>
      </c>
      <c r="D21" s="80">
        <f t="shared" ref="D21:F21" si="6">IFERROR(D20/$B$4,0)</f>
        <v>0</v>
      </c>
      <c r="E21" s="80">
        <f t="shared" si="6"/>
        <v>0</v>
      </c>
      <c r="F21" s="80">
        <f t="shared" si="6"/>
        <v>0</v>
      </c>
    </row>
    <row r="23" spans="1:13" x14ac:dyDescent="0.2">
      <c r="A23" s="33" t="s">
        <v>166</v>
      </c>
      <c r="B23" s="104">
        <f>IFERROR((B4-B7)/IF(IFERROR(HLOOKUP(B2,Dropdowns!G1:I1,1,0),TRUE)=TRUE,B9,Aufgabenplanung!$B$25),0)</f>
        <v>0</v>
      </c>
      <c r="C23" s="38"/>
    </row>
    <row r="24" spans="1:13" x14ac:dyDescent="0.2">
      <c r="A24" s="33" t="s">
        <v>194</v>
      </c>
      <c r="B24" s="28">
        <f>IFERROR((B4-B7)/IF(IFERROR(HLOOKUP(B2,Dropdowns!G1:I1,1,0),TRUE)=TRUE,B9,22),0)</f>
        <v>0</v>
      </c>
      <c r="C24" s="38"/>
    </row>
    <row r="25" spans="1:13" x14ac:dyDescent="0.2">
      <c r="A25" s="36"/>
      <c r="B25" s="11"/>
    </row>
    <row r="26" spans="1:13" ht="38.25" x14ac:dyDescent="0.2">
      <c r="A26" s="12" t="s">
        <v>115</v>
      </c>
      <c r="B26" s="263" t="s">
        <v>239</v>
      </c>
      <c r="C26" s="13" t="s">
        <v>116</v>
      </c>
      <c r="D26" s="13" t="s">
        <v>117</v>
      </c>
      <c r="E26" s="13" t="s">
        <v>118</v>
      </c>
      <c r="F26" s="84" t="s">
        <v>196</v>
      </c>
      <c r="G26" s="84" t="s">
        <v>208</v>
      </c>
      <c r="H26" s="38"/>
      <c r="I26" s="84" t="s">
        <v>210</v>
      </c>
      <c r="J26" s="84" t="s">
        <v>211</v>
      </c>
    </row>
    <row r="27" spans="1:13" ht="15" x14ac:dyDescent="0.2">
      <c r="A27" s="6" t="s">
        <v>119</v>
      </c>
      <c r="B27" s="16">
        <f>SUM(B13:F13)</f>
        <v>0</v>
      </c>
      <c r="C27" s="14">
        <f>B27*$B$4</f>
        <v>0</v>
      </c>
      <c r="D27" s="76">
        <f>IFERROR(C27/$B5,0)</f>
        <v>0</v>
      </c>
      <c r="E27" s="77">
        <v>0</v>
      </c>
      <c r="F27" s="85">
        <f>IFERROR(C27/SUM($C$27:$C$29),0)</f>
        <v>0</v>
      </c>
      <c r="G27" s="95">
        <f>SUM(C10:F10)</f>
        <v>0</v>
      </c>
      <c r="H27" s="28"/>
      <c r="I27" s="103">
        <f>+D27/24/5</f>
        <v>0</v>
      </c>
      <c r="J27" s="103">
        <f t="shared" ref="J27:J29" si="7">+E27/24/5</f>
        <v>0</v>
      </c>
    </row>
    <row r="28" spans="1:13" ht="15" x14ac:dyDescent="0.2">
      <c r="A28" s="33" t="s">
        <v>195</v>
      </c>
      <c r="B28" s="16">
        <f>SUM(B18:F18)</f>
        <v>0</v>
      </c>
      <c r="C28" s="97">
        <f>B28*$B$4</f>
        <v>0</v>
      </c>
      <c r="D28" s="76">
        <f>IFERROR(($B$4*$B$5/SUM($B$5:$B$6)*$B$10/$B$9-$C$27)
*B28/SUM($B$28:$B$29)/$B$5,0)</f>
        <v>0</v>
      </c>
      <c r="E28" s="77">
        <f>IFERROR((C28-(D28*$B$5))/$B$6,0)</f>
        <v>0</v>
      </c>
      <c r="F28" s="85">
        <f t="shared" ref="F28:F33" si="8">IFERROR(C28/SUM($C$27:$C$29),0)</f>
        <v>0</v>
      </c>
      <c r="G28" s="95">
        <f>SUM(C10:F10)</f>
        <v>0</v>
      </c>
      <c r="H28" s="28"/>
      <c r="I28" s="103">
        <f t="shared" ref="I28" si="9">+D28/24/5</f>
        <v>0</v>
      </c>
      <c r="J28" s="103">
        <f t="shared" si="7"/>
        <v>0</v>
      </c>
    </row>
    <row r="29" spans="1:13" ht="15" x14ac:dyDescent="0.2">
      <c r="A29" s="98" t="s">
        <v>209</v>
      </c>
      <c r="B29" s="88">
        <f>SUM(B14:F14)-SUM(B17:F17)</f>
        <v>0</v>
      </c>
      <c r="C29" s="89">
        <f>B29*$B$4</f>
        <v>0</v>
      </c>
      <c r="D29" s="76">
        <f t="shared" ref="D29:D33" si="10">IFERROR(($B$4*$B$5/SUM($B$5:$B$6)*$B$10/$B$9-$C$27)
*B29/SUM($B$28:$B$29)/$B$5,0)</f>
        <v>0</v>
      </c>
      <c r="E29" s="90">
        <f>IFERROR((C29-(D29*$B$5))/$B$6,0)</f>
        <v>0</v>
      </c>
      <c r="F29" s="85">
        <f t="shared" si="8"/>
        <v>0</v>
      </c>
      <c r="G29" s="95">
        <f>SUM(C10:F10)</f>
        <v>0</v>
      </c>
      <c r="H29" s="37"/>
      <c r="I29" s="103">
        <f>+D29/24/5</f>
        <v>0</v>
      </c>
      <c r="J29" s="103">
        <f t="shared" si="7"/>
        <v>0</v>
      </c>
      <c r="L29" s="28"/>
      <c r="M29" s="28"/>
    </row>
    <row r="30" spans="1:13" ht="15" x14ac:dyDescent="0.2">
      <c r="A30" s="93" t="str">
        <f>+C9</f>
        <v/>
      </c>
      <c r="B30" s="94">
        <f>+C14</f>
        <v>0</v>
      </c>
      <c r="C30" s="89">
        <f t="shared" ref="C30:C33" si="11">B30*$B$4</f>
        <v>0</v>
      </c>
      <c r="D30" s="76">
        <f t="shared" si="10"/>
        <v>0</v>
      </c>
      <c r="E30" s="90">
        <f t="shared" ref="E30:E33" si="12">IFERROR((C30-(D30*$B$5))/$B$6,0)</f>
        <v>0</v>
      </c>
      <c r="F30" s="85">
        <f t="shared" si="8"/>
        <v>0</v>
      </c>
      <c r="G30" s="95">
        <f>C10</f>
        <v>0</v>
      </c>
      <c r="H30" s="28"/>
      <c r="I30" s="103">
        <f t="shared" ref="I30:I33" si="13">+D30/24/5</f>
        <v>0</v>
      </c>
      <c r="J30" s="103">
        <f t="shared" ref="J30:J33" si="14">+E30/24/5</f>
        <v>0</v>
      </c>
    </row>
    <row r="31" spans="1:13" ht="15" x14ac:dyDescent="0.2">
      <c r="A31" s="93" t="str">
        <f>+D9</f>
        <v/>
      </c>
      <c r="B31" s="94">
        <f>+D14</f>
        <v>0</v>
      </c>
      <c r="C31" s="89">
        <f t="shared" si="11"/>
        <v>0</v>
      </c>
      <c r="D31" s="76">
        <f t="shared" si="10"/>
        <v>0</v>
      </c>
      <c r="E31" s="90">
        <f t="shared" si="12"/>
        <v>0</v>
      </c>
      <c r="F31" s="85">
        <f t="shared" si="8"/>
        <v>0</v>
      </c>
      <c r="G31" s="95">
        <f>D10</f>
        <v>0</v>
      </c>
      <c r="H31" s="28"/>
      <c r="I31" s="103">
        <f t="shared" si="13"/>
        <v>0</v>
      </c>
      <c r="J31" s="103">
        <f t="shared" si="14"/>
        <v>0</v>
      </c>
    </row>
    <row r="32" spans="1:13" ht="15" x14ac:dyDescent="0.2">
      <c r="A32" s="93" t="str">
        <f>+E9</f>
        <v/>
      </c>
      <c r="B32" s="94">
        <f>+E14</f>
        <v>0</v>
      </c>
      <c r="C32" s="89">
        <f t="shared" si="11"/>
        <v>0</v>
      </c>
      <c r="D32" s="76">
        <f t="shared" si="10"/>
        <v>0</v>
      </c>
      <c r="E32" s="90">
        <f t="shared" si="12"/>
        <v>0</v>
      </c>
      <c r="F32" s="85">
        <f t="shared" si="8"/>
        <v>0</v>
      </c>
      <c r="G32" s="95">
        <f>E10</f>
        <v>0</v>
      </c>
      <c r="H32" s="28"/>
      <c r="I32" s="103">
        <f t="shared" si="13"/>
        <v>0</v>
      </c>
      <c r="J32" s="103">
        <f t="shared" si="14"/>
        <v>0</v>
      </c>
    </row>
    <row r="33" spans="1:11" ht="15" x14ac:dyDescent="0.2">
      <c r="A33" s="93" t="str">
        <f>+F9</f>
        <v/>
      </c>
      <c r="B33" s="94">
        <f>+F14</f>
        <v>0</v>
      </c>
      <c r="C33" s="89">
        <f t="shared" si="11"/>
        <v>0</v>
      </c>
      <c r="D33" s="76">
        <f t="shared" si="10"/>
        <v>0</v>
      </c>
      <c r="E33" s="90">
        <f t="shared" si="12"/>
        <v>0</v>
      </c>
      <c r="F33" s="85">
        <f t="shared" si="8"/>
        <v>0</v>
      </c>
      <c r="G33" s="95">
        <f>F10</f>
        <v>0</v>
      </c>
      <c r="H33" s="28"/>
      <c r="I33" s="103">
        <f t="shared" si="13"/>
        <v>0</v>
      </c>
      <c r="J33" s="103">
        <f t="shared" si="14"/>
        <v>0</v>
      </c>
    </row>
    <row r="34" spans="1:11" ht="15" x14ac:dyDescent="0.2">
      <c r="C34" s="91" t="s">
        <v>120</v>
      </c>
      <c r="D34" s="92">
        <f>SUM(D27:D29)</f>
        <v>0</v>
      </c>
      <c r="E34" s="92">
        <f>SUM(E27:E29)</f>
        <v>0</v>
      </c>
      <c r="F34" s="34" t="s">
        <v>11</v>
      </c>
      <c r="G34" s="34"/>
      <c r="H34" s="28"/>
    </row>
    <row r="35" spans="1:11" ht="15" x14ac:dyDescent="0.2">
      <c r="C35" s="6" t="s">
        <v>121</v>
      </c>
      <c r="D35" s="17">
        <f>D34*$B$5</f>
        <v>0</v>
      </c>
      <c r="E35" s="17">
        <f>+E34*B6</f>
        <v>0</v>
      </c>
      <c r="F35" s="17">
        <f>SUM(D35:E35)</f>
        <v>0</v>
      </c>
      <c r="I35" s="83"/>
    </row>
    <row r="36" spans="1:11" ht="15" x14ac:dyDescent="0.2">
      <c r="A36" s="31" t="s">
        <v>161</v>
      </c>
      <c r="B36" s="30">
        <f>IFERROR(C36/B4,0)</f>
        <v>0</v>
      </c>
      <c r="C36" s="15">
        <f>IF(C9="",IF(B9=0,0,+B11*B8/B9),SUM(C20:F20))</f>
        <v>0</v>
      </c>
      <c r="D36" s="15">
        <f>IFERROR($C$36/SUM($B$5:$B$6),0)</f>
        <v>0</v>
      </c>
      <c r="E36" s="15">
        <f>IFERROR($C$36/SUM($B$5:$B$6),0)</f>
        <v>0</v>
      </c>
      <c r="G36" s="35"/>
      <c r="H36" s="35"/>
      <c r="I36" s="103">
        <f>+D36/24/5</f>
        <v>0</v>
      </c>
      <c r="J36" s="103">
        <f>+E36/24/5</f>
        <v>0</v>
      </c>
    </row>
    <row r="37" spans="1:11" ht="15" x14ac:dyDescent="0.2">
      <c r="B37" s="33" t="s">
        <v>162</v>
      </c>
      <c r="C37" s="6"/>
      <c r="D37" s="17">
        <f>+D34+D36</f>
        <v>0</v>
      </c>
      <c r="E37" s="17">
        <f>+E34+E36</f>
        <v>0</v>
      </c>
      <c r="F37" s="34" t="s">
        <v>11</v>
      </c>
      <c r="G37" s="32"/>
    </row>
    <row r="38" spans="1:11" ht="15" x14ac:dyDescent="0.2">
      <c r="B38" s="33" t="s">
        <v>163</v>
      </c>
      <c r="C38" s="6"/>
      <c r="D38" s="17">
        <f>D37*$B$5</f>
        <v>0</v>
      </c>
      <c r="E38" s="17">
        <f>E37*$B$6</f>
        <v>0</v>
      </c>
      <c r="F38" s="17">
        <f>SUM(D38:E38)</f>
        <v>0</v>
      </c>
      <c r="H38" s="19"/>
      <c r="J38" s="102"/>
      <c r="K38" s="102"/>
    </row>
    <row r="39" spans="1:11" ht="15" x14ac:dyDescent="0.2">
      <c r="A39" s="4"/>
      <c r="B39" s="4"/>
      <c r="C39" s="4"/>
      <c r="D39" s="4"/>
      <c r="E39" s="4"/>
    </row>
    <row r="40" spans="1:11" ht="15" x14ac:dyDescent="0.2">
      <c r="A40" s="4"/>
      <c r="B40" s="4"/>
      <c r="C40" s="4"/>
      <c r="D40" s="4"/>
      <c r="E40" s="4"/>
    </row>
    <row r="41" spans="1:11" ht="15.75" x14ac:dyDescent="0.2">
      <c r="A41" s="99" t="s">
        <v>207</v>
      </c>
      <c r="B41" s="18"/>
      <c r="C41" s="18" t="s">
        <v>12</v>
      </c>
      <c r="D41" s="18" t="s">
        <v>13</v>
      </c>
      <c r="E41" s="18" t="s">
        <v>122</v>
      </c>
    </row>
    <row r="42" spans="1:11" ht="15" x14ac:dyDescent="0.2">
      <c r="A42" s="23">
        <f>IFERROR(Aufgabenplanung!B20*B10/B9,0)</f>
        <v>0</v>
      </c>
      <c r="B42" s="18" t="s">
        <v>123</v>
      </c>
      <c r="C42" s="20">
        <f>IF(Aufgabenplanung!$B$16=0,0,+C27*(Aufgabenplanung!$B$20+Aufgabenplanung!$B$17)/Aufgabenplanung!$B$16)</f>
        <v>0</v>
      </c>
      <c r="D42" s="20">
        <f>IF(Aufgabenplanung!$B$16=0,0,+C28*(Aufgabenplanung!$B$20+Aufgabenplanung!$B$17)/Aufgabenplanung!$B$16)</f>
        <v>0</v>
      </c>
      <c r="E42" s="20">
        <f>IF(Aufgabenplanung!$B$16=0,0,+C29*(Aufgabenplanung!$B$20+Aufgabenplanung!$B$17)/Aufgabenplanung!$B$16)</f>
        <v>0</v>
      </c>
    </row>
    <row r="43" spans="1:11" ht="15" x14ac:dyDescent="0.2">
      <c r="A43" s="21">
        <f>SUM(C43:E43)</f>
        <v>0</v>
      </c>
      <c r="B43" s="18" t="s">
        <v>124</v>
      </c>
      <c r="C43" s="22">
        <f>IFERROR(C42/SUM($C$42:$E$42),0)</f>
        <v>0</v>
      </c>
      <c r="D43" s="22">
        <f>IFERROR(D42/SUM($C$42:$E$42),0)</f>
        <v>0</v>
      </c>
      <c r="E43" s="22">
        <f>IFERROR(E42/SUM($C$42:$E$42),0)</f>
        <v>0</v>
      </c>
    </row>
    <row r="44" spans="1:11" ht="15" x14ac:dyDescent="0.2">
      <c r="A44" s="4"/>
      <c r="B44" s="4"/>
      <c r="C44" s="4"/>
      <c r="D44" s="4"/>
      <c r="E44" s="4"/>
    </row>
  </sheetData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Tabelle21">
    <tabColor theme="7" tint="0.39997558519241921"/>
  </sheetPr>
  <dimension ref="A1:L92"/>
  <sheetViews>
    <sheetView tabSelected="1" zoomScaleNormal="100" zoomScaleSheetLayoutView="100" workbookViewId="0"/>
  </sheetViews>
  <sheetFormatPr baseColWidth="10" defaultColWidth="9.77734375" defaultRowHeight="15" x14ac:dyDescent="0.2"/>
  <cols>
    <col min="1" max="1" width="43.109375" style="198" customWidth="1"/>
    <col min="2" max="2" width="13.6640625" style="199" customWidth="1"/>
    <col min="3" max="3" width="15.21875" style="198" customWidth="1"/>
    <col min="4" max="4" width="7.109375" style="200" customWidth="1"/>
    <col min="5" max="8" width="9.77734375" style="198"/>
    <col min="9" max="9" width="31.21875" style="198" bestFit="1" customWidth="1"/>
    <col min="10" max="16384" width="9.77734375" style="198"/>
  </cols>
  <sheetData>
    <row r="1" spans="1:12" s="110" customFormat="1" ht="18.75" customHeight="1" x14ac:dyDescent="0.2">
      <c r="A1" s="105" t="s">
        <v>58</v>
      </c>
      <c r="B1" s="106"/>
      <c r="C1" s="107"/>
      <c r="D1" s="108"/>
      <c r="E1" s="109"/>
      <c r="F1" s="109"/>
      <c r="G1" s="109"/>
      <c r="H1" s="109"/>
      <c r="I1" s="109"/>
    </row>
    <row r="2" spans="1:12" s="115" customFormat="1" ht="29.25" customHeight="1" x14ac:dyDescent="0.2">
      <c r="A2" s="111"/>
      <c r="B2" s="112"/>
      <c r="C2" s="111"/>
      <c r="D2" s="113"/>
      <c r="E2" s="114" t="s">
        <v>170</v>
      </c>
      <c r="F2" s="114" t="s">
        <v>168</v>
      </c>
      <c r="G2" s="114" t="s">
        <v>213</v>
      </c>
      <c r="H2" s="114" t="s">
        <v>214</v>
      </c>
      <c r="I2" s="111"/>
    </row>
    <row r="3" spans="1:12" s="115" customFormat="1" ht="18.75" customHeight="1" x14ac:dyDescent="0.2">
      <c r="A3" s="116" t="s">
        <v>59</v>
      </c>
      <c r="B3" s="117"/>
      <c r="C3" s="118"/>
      <c r="D3" s="111"/>
      <c r="E3" s="119" t="s">
        <v>11</v>
      </c>
      <c r="F3" s="120">
        <f t="array" ref="F3">IFERROR(ROUND(SUMPRODUCT(IFERROR($E$4:$E$7^-1,0),F4:F7)*B25,2),"")</f>
        <v>0</v>
      </c>
      <c r="G3" s="121">
        <f t="array" ref="G3">IFERROR(ROUND(SUMPRODUCT(IFERROR($E$4:$E$7^-1,0),G4:G7)*B25,2),"")</f>
        <v>0</v>
      </c>
      <c r="H3" s="121">
        <f t="array" ref="H3">IFERROR(ROUND(SUMPRODUCT(IFERROR($E$4:$E$7^-1,0),H4:H7)*B25,2),"")</f>
        <v>0</v>
      </c>
      <c r="I3" s="122" t="s">
        <v>223</v>
      </c>
    </row>
    <row r="4" spans="1:12" s="115" customFormat="1" ht="18.75" customHeight="1" x14ac:dyDescent="0.2">
      <c r="A4" s="123" t="s">
        <v>60</v>
      </c>
      <c r="B4" s="272"/>
      <c r="C4" s="273"/>
      <c r="D4" s="111"/>
      <c r="E4" s="124" t="str">
        <f>IFERROR(IF(HLOOKUP(B4:B4,Dropdowns!1:5,2,0)=0,"",HLOOKUP(B4:B4,Dropdowns!1:5,2,0)),"")</f>
        <v/>
      </c>
      <c r="F4" s="125"/>
      <c r="G4" s="125"/>
      <c r="H4" s="125"/>
      <c r="I4" s="111"/>
    </row>
    <row r="5" spans="1:12" s="115" customFormat="1" ht="18.75" customHeight="1" x14ac:dyDescent="0.2">
      <c r="A5" s="123" t="s">
        <v>61</v>
      </c>
      <c r="B5" s="272"/>
      <c r="C5" s="272"/>
      <c r="D5" s="113"/>
      <c r="E5" s="124" t="str">
        <f>IFERROR(IF(HLOOKUP(B4:B4,Dropdowns!1:5,3,0)=0,"",HLOOKUP(B4:B4,Dropdowns!1:5,3,0)),"")</f>
        <v/>
      </c>
      <c r="F5" s="125"/>
      <c r="G5" s="125"/>
      <c r="H5" s="125"/>
      <c r="I5" s="111"/>
    </row>
    <row r="6" spans="1:12" s="115" customFormat="1" ht="18.75" customHeight="1" x14ac:dyDescent="0.2">
      <c r="A6" s="123" t="s">
        <v>62</v>
      </c>
      <c r="B6" s="274" t="str">
        <f>+Grundlagen!B2</f>
        <v>2025/2026</v>
      </c>
      <c r="C6" s="275"/>
      <c r="D6" s="126"/>
      <c r="E6" s="124" t="str">
        <f>IFERROR(IF(HLOOKUP(B4:B4,Dropdowns!1:5,4,0)=0,"",HLOOKUP(B4:B4,Dropdowns!1:5,4,0)),"")</f>
        <v/>
      </c>
      <c r="F6" s="127"/>
      <c r="G6" s="127"/>
      <c r="H6" s="127"/>
      <c r="I6" s="111"/>
      <c r="K6" s="239"/>
    </row>
    <row r="7" spans="1:12" s="115" customFormat="1" ht="18.75" customHeight="1" x14ac:dyDescent="0.2">
      <c r="A7" s="111"/>
      <c r="B7" s="111"/>
      <c r="C7" s="111"/>
      <c r="D7" s="113"/>
      <c r="E7" s="124" t="str">
        <f>IFERROR(IF(HLOOKUP(B4:B4,Dropdowns!1:5,5,0)=0,"",HLOOKUP(B4:B4,Dropdowns!1:5,5,0)),"")</f>
        <v/>
      </c>
      <c r="F7" s="125"/>
      <c r="G7" s="125"/>
      <c r="H7" s="125"/>
      <c r="I7" s="111"/>
      <c r="K7" s="239"/>
    </row>
    <row r="8" spans="1:12" s="115" customFormat="1" ht="18.75" customHeight="1" x14ac:dyDescent="0.2">
      <c r="A8" s="116" t="s">
        <v>63</v>
      </c>
      <c r="B8" s="117"/>
      <c r="C8" s="118"/>
      <c r="D8" s="113"/>
      <c r="E8" s="111"/>
      <c r="F8" s="111"/>
      <c r="G8" s="111"/>
      <c r="H8" s="111"/>
      <c r="I8" s="111"/>
      <c r="K8" s="239"/>
    </row>
    <row r="9" spans="1:12" s="115" customFormat="1" ht="18.75" customHeight="1" x14ac:dyDescent="0.2">
      <c r="A9" s="123" t="s">
        <v>64</v>
      </c>
      <c r="B9" s="276"/>
      <c r="C9" s="276"/>
      <c r="D9" s="126"/>
      <c r="E9" s="111"/>
      <c r="F9" s="111"/>
      <c r="G9" s="111"/>
      <c r="H9" s="111"/>
      <c r="I9" s="128"/>
      <c r="K9" s="239"/>
    </row>
    <row r="10" spans="1:12" s="115" customFormat="1" ht="18.75" customHeight="1" x14ac:dyDescent="0.2">
      <c r="A10" s="123" t="s">
        <v>65</v>
      </c>
      <c r="B10" s="276"/>
      <c r="C10" s="276"/>
      <c r="D10" s="113"/>
      <c r="E10" s="111"/>
      <c r="F10" s="111"/>
      <c r="G10" s="111"/>
      <c r="H10" s="111"/>
      <c r="I10" s="111"/>
      <c r="K10" s="239"/>
    </row>
    <row r="11" spans="1:12" s="115" customFormat="1" ht="18.75" customHeight="1" x14ac:dyDescent="0.2">
      <c r="A11" s="123" t="s">
        <v>66</v>
      </c>
      <c r="B11" s="271"/>
      <c r="C11" s="271"/>
      <c r="D11" s="113"/>
      <c r="E11" s="111"/>
      <c r="F11" s="129"/>
      <c r="G11" s="111"/>
      <c r="H11" s="111"/>
      <c r="I11" s="111"/>
      <c r="K11" s="239"/>
    </row>
    <row r="12" spans="1:12" s="115" customFormat="1" ht="18.75" customHeight="1" x14ac:dyDescent="0.2">
      <c r="A12" s="130"/>
      <c r="B12" s="131"/>
      <c r="C12" s="132"/>
      <c r="D12" s="113"/>
      <c r="E12" s="111"/>
      <c r="F12" s="129"/>
      <c r="G12" s="111"/>
      <c r="H12" s="111"/>
      <c r="I12" s="111"/>
      <c r="K12" s="239"/>
    </row>
    <row r="13" spans="1:12" s="115" customFormat="1" ht="18.75" customHeight="1" x14ac:dyDescent="0.2">
      <c r="A13" s="116" t="s">
        <v>67</v>
      </c>
      <c r="B13" s="117"/>
      <c r="C13" s="118"/>
      <c r="D13" s="126"/>
      <c r="E13" s="111"/>
      <c r="F13" s="129"/>
      <c r="G13" s="111"/>
      <c r="H13" s="111"/>
      <c r="I13" s="111"/>
      <c r="K13" s="239"/>
    </row>
    <row r="14" spans="1:12" s="115" customFormat="1" ht="18.75" customHeight="1" x14ac:dyDescent="0.2">
      <c r="A14" s="123" t="s">
        <v>0</v>
      </c>
      <c r="B14" s="133">
        <f>IF(B6="",0,(Grundlagen!C2))</f>
        <v>2091.6</v>
      </c>
      <c r="C14" s="111"/>
      <c r="D14" s="126"/>
      <c r="E14" s="111"/>
      <c r="F14" s="129"/>
      <c r="G14" s="111"/>
      <c r="H14" s="111"/>
      <c r="I14" s="111"/>
      <c r="L14" s="237"/>
    </row>
    <row r="15" spans="1:12" s="115" customFormat="1" ht="18.75" customHeight="1" x14ac:dyDescent="0.2">
      <c r="A15" s="123" t="s">
        <v>68</v>
      </c>
      <c r="B15" s="134">
        <f>IF(B14=0,0,25*8.4)</f>
        <v>210</v>
      </c>
      <c r="C15" s="111"/>
      <c r="D15" s="126"/>
      <c r="E15" s="111"/>
      <c r="F15" s="129"/>
      <c r="G15" s="111"/>
      <c r="H15" s="111"/>
      <c r="I15" s="111"/>
    </row>
    <row r="16" spans="1:12" s="115" customFormat="1" ht="18.75" customHeight="1" x14ac:dyDescent="0.2">
      <c r="A16" s="123" t="s">
        <v>69</v>
      </c>
      <c r="B16" s="134">
        <f>+B14-B15</f>
        <v>1881.6</v>
      </c>
      <c r="C16" s="135"/>
      <c r="D16" s="126"/>
      <c r="E16" s="111"/>
      <c r="F16" s="129"/>
      <c r="G16" s="111"/>
      <c r="H16" s="111"/>
      <c r="I16" s="111"/>
    </row>
    <row r="17" spans="1:9" s="115" customFormat="1" ht="18.75" customHeight="1" x14ac:dyDescent="0.2">
      <c r="A17" s="123" t="str">
        <f>IF(B17="","Altersabhängige Ferien","Altersabhängige Ferientage in h ("&amp;TEXT(B17/8.4,"0.0")&amp;" Ferientage)")</f>
        <v>Altersabhängige Ferientage in h (0.0 Ferientage)</v>
      </c>
      <c r="B17" s="240">
        <f>IF(OR(B11="",B6=""),0,IF(OR(B11="",B6=""),0,(VLOOKUP(DATEDIF(B11+1,DATE(YEAR(DATE(LEFT(B6,4),8,1)),1,1),"y")+1,Grundlagen!$AB$4:$AD$6,3,1)*8.4*5/12+VLOOKUP(DATEDIF(B11+1,DATE(YEAR(DATE(RIGHT(B6,4),1,1)),1,1),"y")+1,Grundlagen!$AB$4:$AD$6,3,1)*8.4*7/12)-B15))</f>
        <v>0</v>
      </c>
      <c r="C17" s="111"/>
      <c r="D17" s="126"/>
      <c r="E17" s="111"/>
      <c r="F17" s="111"/>
      <c r="G17" s="111"/>
      <c r="H17" s="111"/>
      <c r="I17" s="111"/>
    </row>
    <row r="18" spans="1:9" s="115" customFormat="1" ht="18.75" customHeight="1" x14ac:dyDescent="0.2">
      <c r="A18" s="123" t="s">
        <v>70</v>
      </c>
      <c r="B18" s="125"/>
      <c r="C18" s="132"/>
      <c r="D18" s="126"/>
      <c r="E18" s="111"/>
      <c r="F18" s="111"/>
      <c r="G18" s="111"/>
      <c r="H18" s="111"/>
      <c r="I18" s="111"/>
    </row>
    <row r="19" spans="1:9" s="115" customFormat="1" ht="18.75" customHeight="1" x14ac:dyDescent="0.2">
      <c r="A19" s="123" t="s">
        <v>71</v>
      </c>
      <c r="B19" s="125"/>
      <c r="C19" s="132"/>
      <c r="D19" s="126"/>
      <c r="E19" s="111"/>
      <c r="F19" s="111"/>
      <c r="G19" s="111"/>
      <c r="H19" s="111"/>
      <c r="I19" s="111"/>
    </row>
    <row r="20" spans="1:9" s="115" customFormat="1" ht="18.75" customHeight="1" x14ac:dyDescent="0.2">
      <c r="A20" s="123" t="s">
        <v>72</v>
      </c>
      <c r="B20" s="136">
        <f>SUM(B16)-SUM(B17)-SUM(B18:B19)*42</f>
        <v>1881.6</v>
      </c>
      <c r="C20" s="111"/>
      <c r="D20" s="126"/>
      <c r="E20" s="137"/>
      <c r="F20" s="111"/>
      <c r="G20" s="111"/>
      <c r="H20" s="111"/>
      <c r="I20" s="111"/>
    </row>
    <row r="21" spans="1:9" s="115" customFormat="1" ht="18.75" customHeight="1" x14ac:dyDescent="0.2">
      <c r="A21" s="111"/>
      <c r="B21" s="111"/>
      <c r="C21" s="111"/>
      <c r="D21" s="126"/>
      <c r="E21" s="111"/>
      <c r="F21" s="111"/>
      <c r="G21" s="111"/>
      <c r="H21" s="111"/>
      <c r="I21" s="111"/>
    </row>
    <row r="22" spans="1:9" s="115" customFormat="1" ht="18.75" customHeight="1" x14ac:dyDescent="0.2">
      <c r="A22" s="116" t="s">
        <v>73</v>
      </c>
      <c r="B22" s="117"/>
      <c r="C22" s="118"/>
      <c r="D22" s="126"/>
      <c r="E22" s="111"/>
      <c r="F22" s="111"/>
      <c r="G22" s="111"/>
      <c r="H22" s="111"/>
      <c r="I22" s="111"/>
    </row>
    <row r="23" spans="1:9" s="115" customFormat="1" ht="18.75" customHeight="1" x14ac:dyDescent="0.2">
      <c r="A23" s="138"/>
      <c r="B23" s="138"/>
      <c r="C23" s="111"/>
      <c r="D23" s="126"/>
      <c r="E23" s="111"/>
      <c r="F23" s="111"/>
      <c r="G23" s="111"/>
      <c r="H23" s="111"/>
      <c r="I23" s="111"/>
    </row>
    <row r="24" spans="1:9" s="115" customFormat="1" ht="18.75" customHeight="1" x14ac:dyDescent="0.2">
      <c r="A24" s="135"/>
      <c r="B24" s="139" t="s">
        <v>74</v>
      </c>
      <c r="C24" s="123" t="s">
        <v>75</v>
      </c>
      <c r="D24" s="126"/>
      <c r="E24" s="111"/>
      <c r="F24" s="111"/>
      <c r="G24" s="111"/>
      <c r="H24" s="111"/>
      <c r="I24" s="111"/>
    </row>
    <row r="25" spans="1:9" s="115" customFormat="1" ht="18.75" customHeight="1" x14ac:dyDescent="0.2">
      <c r="A25" s="123" t="s">
        <v>180</v>
      </c>
      <c r="B25" s="140">
        <f>IF(COUNTIFS(F4:F7,"&gt;0")=0,IFERROR(VLOOKUP(B4,Grundlagen!AE:AJ,2,0),0),IF(COUNTIFS(F4:F7,"&gt;0")=1,INDEX(E4:E7,IFERROR(MATCH(SUM(F4:F7),F4:F7,0),1)),IF(F4&gt;0,E4,IF(F5&gt;0,E5,IF(F6&gt;0,E6,IF(F7&gt;0,E7,E4))))))</f>
        <v>0</v>
      </c>
      <c r="C25" s="135"/>
      <c r="D25" s="126"/>
      <c r="E25" s="111"/>
      <c r="F25" s="111"/>
      <c r="G25" s="111"/>
      <c r="H25" s="111"/>
      <c r="I25" s="111"/>
    </row>
    <row r="26" spans="1:9" s="115" customFormat="1" ht="18.75" customHeight="1" x14ac:dyDescent="0.2">
      <c r="A26" s="141" t="s">
        <v>77</v>
      </c>
      <c r="B26" s="125"/>
      <c r="C26" s="142">
        <f>IFERROR(B26/B25,0)</f>
        <v>0</v>
      </c>
      <c r="D26" s="143" t="str">
        <f>IF(AND(F3&lt;&gt;"",ROUND(B26,2)&lt;&gt;ROUND(F3,2)),"Wert entspricht nicht dem Wert in Zelle F3","")</f>
        <v/>
      </c>
      <c r="E26" s="111"/>
      <c r="F26" s="111"/>
      <c r="G26" s="111"/>
      <c r="H26" s="111"/>
      <c r="I26" s="111"/>
    </row>
    <row r="27" spans="1:9" s="115" customFormat="1" ht="18.75" customHeight="1" x14ac:dyDescent="0.2">
      <c r="A27" s="144" t="s">
        <v>212</v>
      </c>
      <c r="B27" s="125"/>
      <c r="C27" s="142">
        <f>IFERROR(B27/B25,0)</f>
        <v>0</v>
      </c>
      <c r="D27" s="143" t="str">
        <f>IF(AND(G3&lt;&gt;"",B27&lt;&gt;G3),"Wert entspricht nicht dem Wert in Zelle g3","")</f>
        <v/>
      </c>
      <c r="E27" s="111"/>
      <c r="F27" s="111"/>
      <c r="G27" s="111"/>
      <c r="H27" s="111"/>
      <c r="I27" s="111"/>
    </row>
    <row r="28" spans="1:9" s="115" customFormat="1" ht="18.75" customHeight="1" x14ac:dyDescent="0.2">
      <c r="A28" s="236" t="s">
        <v>215</v>
      </c>
      <c r="B28" s="125"/>
      <c r="C28" s="142">
        <f>IFERROR(B28/B25,0)</f>
        <v>0</v>
      </c>
      <c r="D28" s="143" t="str">
        <f>IF(AND(H3&lt;&gt;"",B28&lt;&gt;H3),"Wert entspricht nicht dem Wert in Zelle H3","")</f>
        <v/>
      </c>
      <c r="E28" s="111"/>
      <c r="F28" s="111"/>
      <c r="G28" s="111"/>
      <c r="H28" s="111"/>
      <c r="I28" s="111"/>
    </row>
    <row r="29" spans="1:9" s="115" customFormat="1" ht="18.75" customHeight="1" x14ac:dyDescent="0.2">
      <c r="A29" s="145" t="s">
        <v>79</v>
      </c>
      <c r="B29" s="146">
        <f>IFERROR(B20/B25*B26,0)</f>
        <v>0</v>
      </c>
      <c r="C29" s="147">
        <f>IFERROR(B26/B25,0)</f>
        <v>0</v>
      </c>
      <c r="D29" s="126"/>
      <c r="E29" s="111"/>
      <c r="F29" s="111"/>
      <c r="G29" s="111"/>
      <c r="H29" s="111"/>
      <c r="I29" s="111"/>
    </row>
    <row r="30" spans="1:9" s="115" customFormat="1" ht="18.75" customHeight="1" x14ac:dyDescent="0.2">
      <c r="A30" s="141" t="s">
        <v>238</v>
      </c>
      <c r="B30" s="148">
        <f>+'Berechnungen BA'!C28</f>
        <v>0</v>
      </c>
      <c r="C30" s="149">
        <f>IF(B29=0,0,B30/$B$29)</f>
        <v>0</v>
      </c>
      <c r="D30" s="126"/>
      <c r="E30" s="111"/>
      <c r="F30" s="111"/>
      <c r="G30" s="111"/>
      <c r="H30" s="111"/>
      <c r="I30" s="111"/>
    </row>
    <row r="31" spans="1:9" s="115" customFormat="1" ht="18.75" customHeight="1" x14ac:dyDescent="0.2">
      <c r="A31" s="141" t="str">
        <f>"Davon Bereich C/D/E"</f>
        <v>Davon Bereich C/D/E</v>
      </c>
      <c r="B31" s="148">
        <f>+'Berechnungen BA'!E42</f>
        <v>0</v>
      </c>
      <c r="C31" s="149">
        <f>IF(B29=0,0,B31/$B$29)</f>
        <v>0</v>
      </c>
      <c r="D31" s="126"/>
      <c r="E31" s="111"/>
      <c r="F31" s="111"/>
      <c r="G31" s="150"/>
      <c r="H31" s="150"/>
      <c r="I31" s="111"/>
    </row>
    <row r="32" spans="1:9" s="115" customFormat="1" ht="18.75" customHeight="1" x14ac:dyDescent="0.2">
      <c r="A32" s="111"/>
      <c r="B32" s="111"/>
      <c r="C32" s="111"/>
      <c r="D32" s="126"/>
      <c r="E32" s="111"/>
      <c r="F32" s="111"/>
      <c r="G32" s="111"/>
      <c r="H32" s="111"/>
      <c r="I32" s="111"/>
    </row>
    <row r="33" spans="1:9" s="115" customFormat="1" ht="18.75" customHeight="1" x14ac:dyDescent="0.2">
      <c r="A33" s="151" t="s">
        <v>80</v>
      </c>
      <c r="B33" s="152"/>
      <c r="C33" s="152"/>
      <c r="D33" s="113"/>
      <c r="E33" s="111"/>
      <c r="F33" s="111"/>
      <c r="G33" s="111"/>
      <c r="H33" s="111"/>
      <c r="I33" s="111"/>
    </row>
    <row r="34" spans="1:9" s="115" customFormat="1" ht="18.75" customHeight="1" x14ac:dyDescent="0.2">
      <c r="A34" s="130"/>
      <c r="B34" s="153"/>
      <c r="C34" s="131"/>
      <c r="D34" s="126"/>
      <c r="E34" s="111"/>
      <c r="F34" s="111"/>
      <c r="G34" s="111"/>
      <c r="H34" s="111"/>
      <c r="I34" s="111"/>
    </row>
    <row r="35" spans="1:9" s="115" customFormat="1" ht="18.75" customHeight="1" x14ac:dyDescent="0.2">
      <c r="A35" s="154" t="s">
        <v>82</v>
      </c>
      <c r="B35" s="155" t="s">
        <v>83</v>
      </c>
      <c r="C35" s="156" t="s">
        <v>84</v>
      </c>
      <c r="D35" s="126" t="s">
        <v>85</v>
      </c>
      <c r="E35" s="111"/>
      <c r="F35" s="111"/>
      <c r="G35" s="111"/>
      <c r="H35" s="111"/>
      <c r="I35" s="111"/>
    </row>
    <row r="36" spans="1:9" s="115" customFormat="1" ht="18.75" customHeight="1" x14ac:dyDescent="0.2">
      <c r="A36" s="157" t="s">
        <v>92</v>
      </c>
      <c r="B36" s="158"/>
      <c r="C36" s="159" t="s">
        <v>93</v>
      </c>
      <c r="D36" s="160">
        <f>ROUND(B31-IF(C36="Stunden",B36,IF(C36="Jahreslektionen",B36*Jahreslektion)),1)</f>
        <v>0</v>
      </c>
      <c r="E36" s="111"/>
      <c r="F36" s="111"/>
      <c r="G36" s="111"/>
      <c r="H36" s="111"/>
      <c r="I36" s="111"/>
    </row>
    <row r="37" spans="1:9" s="115" customFormat="1" ht="18.75" customHeight="1" x14ac:dyDescent="0.2">
      <c r="A37" s="157" t="s">
        <v>92</v>
      </c>
      <c r="B37" s="158"/>
      <c r="C37" s="159" t="s">
        <v>93</v>
      </c>
      <c r="D37" s="160">
        <f t="shared" ref="D37:D44" si="0">ROUND(D36-IF(C37="Stunden",B37,IF(C37="Jahreslektionen",B37*Jahreslektion)),1)</f>
        <v>0</v>
      </c>
      <c r="E37" s="111"/>
      <c r="F37" s="111"/>
      <c r="G37" s="111"/>
      <c r="H37" s="111"/>
      <c r="I37" s="111"/>
    </row>
    <row r="38" spans="1:9" s="115" customFormat="1" ht="18.75" customHeight="1" x14ac:dyDescent="0.2">
      <c r="A38" s="157" t="s">
        <v>92</v>
      </c>
      <c r="B38" s="158"/>
      <c r="C38" s="159" t="s">
        <v>93</v>
      </c>
      <c r="D38" s="160">
        <f t="shared" si="0"/>
        <v>0</v>
      </c>
      <c r="E38" s="111"/>
      <c r="F38" s="111"/>
      <c r="G38" s="111"/>
      <c r="H38" s="111"/>
      <c r="I38" s="111"/>
    </row>
    <row r="39" spans="1:9" s="115" customFormat="1" ht="18.75" customHeight="1" x14ac:dyDescent="0.2">
      <c r="A39" s="157" t="s">
        <v>92</v>
      </c>
      <c r="B39" s="158"/>
      <c r="C39" s="159" t="s">
        <v>93</v>
      </c>
      <c r="D39" s="160">
        <f t="shared" si="0"/>
        <v>0</v>
      </c>
      <c r="E39" s="111"/>
      <c r="F39" s="111"/>
      <c r="G39" s="111"/>
      <c r="H39" s="111"/>
      <c r="I39" s="111"/>
    </row>
    <row r="40" spans="1:9" s="115" customFormat="1" ht="18.75" customHeight="1" x14ac:dyDescent="0.2">
      <c r="A40" s="157" t="s">
        <v>92</v>
      </c>
      <c r="B40" s="158"/>
      <c r="C40" s="159" t="s">
        <v>93</v>
      </c>
      <c r="D40" s="160">
        <f t="shared" si="0"/>
        <v>0</v>
      </c>
      <c r="E40" s="111"/>
      <c r="F40" s="111"/>
      <c r="G40" s="111"/>
      <c r="H40" s="111"/>
      <c r="I40" s="111"/>
    </row>
    <row r="41" spans="1:9" s="115" customFormat="1" ht="18.75" customHeight="1" x14ac:dyDescent="0.2">
      <c r="A41" s="157" t="s">
        <v>92</v>
      </c>
      <c r="B41" s="158"/>
      <c r="C41" s="159" t="s">
        <v>93</v>
      </c>
      <c r="D41" s="160">
        <f t="shared" si="0"/>
        <v>0</v>
      </c>
      <c r="E41" s="111"/>
      <c r="F41" s="111"/>
      <c r="G41" s="111"/>
      <c r="H41" s="111"/>
      <c r="I41" s="111"/>
    </row>
    <row r="42" spans="1:9" s="115" customFormat="1" ht="18.75" customHeight="1" x14ac:dyDescent="0.2">
      <c r="A42" s="157" t="s">
        <v>92</v>
      </c>
      <c r="B42" s="158"/>
      <c r="C42" s="159" t="s">
        <v>93</v>
      </c>
      <c r="D42" s="160">
        <f t="shared" si="0"/>
        <v>0</v>
      </c>
      <c r="E42" s="111"/>
      <c r="F42" s="111"/>
      <c r="G42" s="111"/>
      <c r="H42" s="111"/>
      <c r="I42" s="111"/>
    </row>
    <row r="43" spans="1:9" s="115" customFormat="1" ht="18.75" customHeight="1" x14ac:dyDescent="0.2">
      <c r="A43" s="157" t="s">
        <v>92</v>
      </c>
      <c r="B43" s="161"/>
      <c r="C43" s="159" t="s">
        <v>93</v>
      </c>
      <c r="D43" s="160">
        <f t="shared" si="0"/>
        <v>0</v>
      </c>
      <c r="E43" s="111"/>
      <c r="F43" s="111"/>
      <c r="G43" s="111"/>
      <c r="H43" s="111"/>
      <c r="I43" s="111"/>
    </row>
    <row r="44" spans="1:9" s="115" customFormat="1" ht="18.75" customHeight="1" x14ac:dyDescent="0.2">
      <c r="A44" s="157" t="s">
        <v>92</v>
      </c>
      <c r="B44" s="161"/>
      <c r="C44" s="159" t="s">
        <v>93</v>
      </c>
      <c r="D44" s="160">
        <f t="shared" si="0"/>
        <v>0</v>
      </c>
      <c r="E44" s="111"/>
      <c r="F44" s="111"/>
      <c r="G44" s="111"/>
      <c r="H44" s="111"/>
      <c r="I44" s="111"/>
    </row>
    <row r="45" spans="1:9" s="115" customFormat="1" ht="18.75" customHeight="1" x14ac:dyDescent="0.2">
      <c r="A45" s="157" t="s">
        <v>92</v>
      </c>
      <c r="B45" s="161"/>
      <c r="C45" s="159" t="s">
        <v>93</v>
      </c>
      <c r="D45" s="160">
        <f t="shared" ref="D45:D55" si="1">ROUND(D44-IF(C45="Stunden",B45,IF(C45="Jahreslektionen",B45*Jahreslektion)),1)</f>
        <v>0</v>
      </c>
      <c r="E45" s="111"/>
      <c r="F45" s="111"/>
      <c r="G45" s="111"/>
      <c r="H45" s="111"/>
      <c r="I45" s="111"/>
    </row>
    <row r="46" spans="1:9" s="115" customFormat="1" ht="18.75" customHeight="1" x14ac:dyDescent="0.2">
      <c r="A46" s="157" t="s">
        <v>92</v>
      </c>
      <c r="B46" s="161"/>
      <c r="C46" s="159" t="s">
        <v>93</v>
      </c>
      <c r="D46" s="160">
        <f t="shared" si="1"/>
        <v>0</v>
      </c>
      <c r="E46" s="111"/>
      <c r="F46" s="111"/>
      <c r="G46" s="111"/>
      <c r="H46" s="111"/>
      <c r="I46" s="111"/>
    </row>
    <row r="47" spans="1:9" s="115" customFormat="1" ht="18.75" customHeight="1" x14ac:dyDescent="0.2">
      <c r="A47" s="157" t="s">
        <v>92</v>
      </c>
      <c r="B47" s="161"/>
      <c r="C47" s="159" t="s">
        <v>93</v>
      </c>
      <c r="D47" s="160">
        <f t="shared" si="1"/>
        <v>0</v>
      </c>
      <c r="E47" s="111"/>
      <c r="F47" s="111"/>
      <c r="G47" s="111"/>
      <c r="H47" s="111"/>
      <c r="I47" s="111"/>
    </row>
    <row r="48" spans="1:9" s="115" customFormat="1" ht="18.75" customHeight="1" x14ac:dyDescent="0.2">
      <c r="A48" s="157" t="s">
        <v>92</v>
      </c>
      <c r="B48" s="161"/>
      <c r="C48" s="159" t="s">
        <v>93</v>
      </c>
      <c r="D48" s="160">
        <f t="shared" si="1"/>
        <v>0</v>
      </c>
      <c r="E48" s="111"/>
      <c r="F48" s="111"/>
      <c r="G48" s="111"/>
      <c r="H48" s="111"/>
      <c r="I48" s="111"/>
    </row>
    <row r="49" spans="1:9" s="115" customFormat="1" ht="18.75" customHeight="1" x14ac:dyDescent="0.2">
      <c r="A49" s="157" t="s">
        <v>92</v>
      </c>
      <c r="B49" s="161"/>
      <c r="C49" s="159" t="s">
        <v>93</v>
      </c>
      <c r="D49" s="160">
        <f t="shared" si="1"/>
        <v>0</v>
      </c>
      <c r="E49" s="111"/>
      <c r="F49" s="111"/>
      <c r="G49" s="111"/>
      <c r="H49" s="111"/>
      <c r="I49" s="111"/>
    </row>
    <row r="50" spans="1:9" s="115" customFormat="1" ht="18.75" customHeight="1" x14ac:dyDescent="0.2">
      <c r="A50" s="157" t="s">
        <v>92</v>
      </c>
      <c r="B50" s="161"/>
      <c r="C50" s="159" t="s">
        <v>93</v>
      </c>
      <c r="D50" s="160">
        <f t="shared" si="1"/>
        <v>0</v>
      </c>
      <c r="E50" s="111"/>
      <c r="F50" s="111"/>
      <c r="G50" s="111"/>
      <c r="H50" s="111"/>
      <c r="I50" s="111"/>
    </row>
    <row r="51" spans="1:9" s="115" customFormat="1" ht="18.75" customHeight="1" x14ac:dyDescent="0.2">
      <c r="A51" s="157" t="s">
        <v>92</v>
      </c>
      <c r="B51" s="161"/>
      <c r="C51" s="159" t="s">
        <v>93</v>
      </c>
      <c r="D51" s="160">
        <f t="shared" si="1"/>
        <v>0</v>
      </c>
      <c r="E51" s="111"/>
      <c r="F51" s="111"/>
      <c r="G51" s="111"/>
      <c r="H51" s="111"/>
      <c r="I51" s="111"/>
    </row>
    <row r="52" spans="1:9" s="115" customFormat="1" ht="18.75" customHeight="1" x14ac:dyDescent="0.2">
      <c r="A52" s="157" t="s">
        <v>92</v>
      </c>
      <c r="B52" s="161"/>
      <c r="C52" s="159" t="s">
        <v>93</v>
      </c>
      <c r="D52" s="160">
        <f t="shared" si="1"/>
        <v>0</v>
      </c>
      <c r="E52" s="111"/>
      <c r="F52" s="111"/>
      <c r="G52" s="111"/>
      <c r="H52" s="111"/>
      <c r="I52" s="111"/>
    </row>
    <row r="53" spans="1:9" s="115" customFormat="1" ht="18.75" customHeight="1" x14ac:dyDescent="0.2">
      <c r="A53" s="157" t="s">
        <v>92</v>
      </c>
      <c r="B53" s="161"/>
      <c r="C53" s="159" t="s">
        <v>93</v>
      </c>
      <c r="D53" s="160">
        <f t="shared" si="1"/>
        <v>0</v>
      </c>
      <c r="E53" s="111"/>
      <c r="F53" s="111"/>
      <c r="G53" s="111"/>
      <c r="H53" s="111"/>
      <c r="I53" s="111"/>
    </row>
    <row r="54" spans="1:9" s="115" customFormat="1" ht="18.75" customHeight="1" x14ac:dyDescent="0.2">
      <c r="A54" s="157" t="s">
        <v>92</v>
      </c>
      <c r="B54" s="161"/>
      <c r="C54" s="159" t="s">
        <v>93</v>
      </c>
      <c r="D54" s="160">
        <f t="shared" si="1"/>
        <v>0</v>
      </c>
      <c r="E54" s="111"/>
      <c r="F54" s="111"/>
      <c r="G54" s="111"/>
      <c r="H54" s="111"/>
      <c r="I54" s="111"/>
    </row>
    <row r="55" spans="1:9" s="115" customFormat="1" ht="18.75" customHeight="1" x14ac:dyDescent="0.2">
      <c r="A55" s="157" t="s">
        <v>92</v>
      </c>
      <c r="B55" s="161"/>
      <c r="C55" s="159" t="s">
        <v>93</v>
      </c>
      <c r="D55" s="160">
        <f t="shared" si="1"/>
        <v>0</v>
      </c>
      <c r="E55" s="111"/>
      <c r="F55" s="111"/>
      <c r="G55" s="111"/>
      <c r="H55" s="111"/>
      <c r="I55" s="111"/>
    </row>
    <row r="56" spans="1:9" s="115" customFormat="1" ht="18.75" customHeight="1" x14ac:dyDescent="0.2">
      <c r="A56" s="162" t="s">
        <v>94</v>
      </c>
      <c r="B56" s="163">
        <f t="array" ref="B56">SUMPRODUCT(B36:B55,IF(C36:C55="Stunden",1,IF(C36:C55="Jahreslektionen",Jahreslektion)))</f>
        <v>0</v>
      </c>
      <c r="C56" s="164" t="s">
        <v>86</v>
      </c>
      <c r="D56" s="160"/>
      <c r="E56" s="111"/>
      <c r="F56" s="111"/>
      <c r="G56" s="111"/>
      <c r="H56" s="111"/>
      <c r="I56" s="111"/>
    </row>
    <row r="57" spans="1:9" s="115" customFormat="1" ht="18.75" customHeight="1" x14ac:dyDescent="0.2">
      <c r="A57" s="132"/>
      <c r="B57" s="165"/>
      <c r="C57" s="165"/>
      <c r="D57" s="126"/>
      <c r="E57" s="111"/>
      <c r="F57" s="111"/>
      <c r="G57" s="111"/>
      <c r="H57" s="111"/>
      <c r="I57" s="111"/>
    </row>
    <row r="58" spans="1:9" s="115" customFormat="1" ht="18.75" customHeight="1" x14ac:dyDescent="0.2">
      <c r="A58" s="154" t="str">
        <f>"Bereich E: Weiterbildung  (im Mehrjahresdurchschn. mind. "&amp;TEXT(0.02*B29,"0.0")&amp;" Stunden)"</f>
        <v>Bereich E: Weiterbildung  (im Mehrjahresdurchschn. mind. 0.0 Stunden)</v>
      </c>
      <c r="B58" s="155"/>
      <c r="C58" s="166"/>
      <c r="D58" s="126"/>
      <c r="E58" s="111"/>
      <c r="F58" s="111"/>
      <c r="G58" s="111"/>
      <c r="H58" s="111"/>
      <c r="I58" s="111"/>
    </row>
    <row r="59" spans="1:9" s="115" customFormat="1" ht="18.75" customHeight="1" x14ac:dyDescent="0.2">
      <c r="A59" s="167" t="s">
        <v>103</v>
      </c>
      <c r="B59" s="161"/>
      <c r="C59" s="159" t="s">
        <v>93</v>
      </c>
      <c r="D59" s="160">
        <f>ROUND(D55-IF(C59="Stunden",B59,IF(C59="Jahreslektionen",B59*Jahreslektion)),1)</f>
        <v>0</v>
      </c>
      <c r="E59" s="111"/>
      <c r="F59" s="111"/>
      <c r="G59" s="111"/>
      <c r="H59" s="111"/>
      <c r="I59" s="111"/>
    </row>
    <row r="60" spans="1:9" s="115" customFormat="1" ht="18.75" customHeight="1" x14ac:dyDescent="0.2">
      <c r="A60" s="167" t="s">
        <v>103</v>
      </c>
      <c r="B60" s="161"/>
      <c r="C60" s="159" t="s">
        <v>93</v>
      </c>
      <c r="D60" s="160">
        <f>ROUND(D59-IF(C60="Stunden",B60,IF(C60="Jahreslektionen",B60*Jahreslektion)),1)</f>
        <v>0</v>
      </c>
      <c r="E60" s="111"/>
      <c r="F60" s="111"/>
      <c r="G60" s="111"/>
      <c r="H60" s="111"/>
      <c r="I60" s="111"/>
    </row>
    <row r="61" spans="1:9" s="115" customFormat="1" ht="18.75" customHeight="1" x14ac:dyDescent="0.2">
      <c r="A61" s="167" t="s">
        <v>103</v>
      </c>
      <c r="B61" s="161"/>
      <c r="C61" s="159" t="s">
        <v>93</v>
      </c>
      <c r="D61" s="160">
        <f>ROUND(D60-IF(C61="Stunden",B61,IF(C61="Jahreslektionen",B61*Jahreslektion)),1)</f>
        <v>0</v>
      </c>
      <c r="E61" s="111"/>
      <c r="F61" s="111"/>
      <c r="G61" s="111"/>
      <c r="H61" s="111"/>
      <c r="I61" s="111"/>
    </row>
    <row r="62" spans="1:9" s="115" customFormat="1" ht="18.75" customHeight="1" x14ac:dyDescent="0.2">
      <c r="A62" s="167" t="s">
        <v>103</v>
      </c>
      <c r="B62" s="161"/>
      <c r="C62" s="159" t="s">
        <v>93</v>
      </c>
      <c r="D62" s="160">
        <f>ROUND(D61-IF(C62="Stunden",B62,IF(C62="Jahreslektionen",B62*Jahreslektion)),1)</f>
        <v>0</v>
      </c>
      <c r="E62" s="111"/>
      <c r="F62" s="111"/>
      <c r="G62" s="111"/>
      <c r="H62" s="111"/>
      <c r="I62" s="111"/>
    </row>
    <row r="63" spans="1:9" s="115" customFormat="1" ht="18.75" customHeight="1" x14ac:dyDescent="0.2">
      <c r="A63" s="167" t="s">
        <v>103</v>
      </c>
      <c r="B63" s="161"/>
      <c r="C63" s="159" t="s">
        <v>93</v>
      </c>
      <c r="D63" s="160">
        <f>ROUND(D62-IF(C63="Stunden",B63,IF(C63="Jahreslektionen",B63*Jahreslektion)),1)</f>
        <v>0</v>
      </c>
      <c r="E63" s="111"/>
      <c r="F63" s="111"/>
      <c r="G63" s="111"/>
      <c r="H63" s="111"/>
      <c r="I63" s="111"/>
    </row>
    <row r="64" spans="1:9" s="115" customFormat="1" ht="18.75" customHeight="1" x14ac:dyDescent="0.2">
      <c r="A64" s="162" t="s">
        <v>95</v>
      </c>
      <c r="B64" s="163">
        <f t="array" ref="B64">SUMPRODUCT(B59:B63,IF(C59:C63="Stunden",1,IF(C59:C63="Jahreslektionen",Jahreslektion)))</f>
        <v>0</v>
      </c>
      <c r="C64" s="164" t="s">
        <v>86</v>
      </c>
      <c r="D64" s="168"/>
      <c r="E64" s="111"/>
      <c r="F64" s="111"/>
      <c r="G64" s="111"/>
      <c r="H64" s="111"/>
      <c r="I64" s="111"/>
    </row>
    <row r="65" spans="1:9" s="115" customFormat="1" ht="18.75" customHeight="1" x14ac:dyDescent="0.2">
      <c r="A65" s="132"/>
      <c r="B65" s="132"/>
      <c r="C65" s="169"/>
      <c r="D65" s="126"/>
      <c r="E65" s="111"/>
      <c r="F65" s="111"/>
      <c r="G65" s="111"/>
      <c r="H65" s="111"/>
      <c r="I65" s="111"/>
    </row>
    <row r="66" spans="1:9" s="173" customFormat="1" ht="18.75" customHeight="1" x14ac:dyDescent="0.2">
      <c r="A66" s="154" t="s">
        <v>96</v>
      </c>
      <c r="B66" s="170">
        <f>SUM(B56,B64)</f>
        <v>0</v>
      </c>
      <c r="C66" s="171">
        <f>IF(B29=0,0,B66/$B$29)</f>
        <v>0</v>
      </c>
      <c r="D66" s="172"/>
      <c r="E66" s="130"/>
      <c r="F66" s="130"/>
      <c r="G66" s="130"/>
      <c r="H66" s="130"/>
      <c r="I66" s="130"/>
    </row>
    <row r="67" spans="1:9" s="115" customFormat="1" ht="18.75" customHeight="1" x14ac:dyDescent="0.2">
      <c r="A67" s="111"/>
      <c r="B67" s="111"/>
      <c r="C67" s="111"/>
      <c r="D67" s="108"/>
      <c r="E67" s="111"/>
      <c r="F67" s="111"/>
      <c r="G67" s="111"/>
      <c r="H67" s="111"/>
      <c r="I67" s="111"/>
    </row>
    <row r="68" spans="1:9" s="173" customFormat="1" ht="18.75" customHeight="1" x14ac:dyDescent="0.2">
      <c r="A68" s="162" t="s">
        <v>184</v>
      </c>
      <c r="B68" s="158"/>
      <c r="C68" s="164" t="s">
        <v>86</v>
      </c>
      <c r="D68" s="172"/>
      <c r="E68" s="130"/>
      <c r="F68" s="130"/>
      <c r="G68" s="130"/>
      <c r="H68" s="130"/>
      <c r="I68" s="130"/>
    </row>
    <row r="69" spans="1:9" s="115" customFormat="1" ht="18.75" customHeight="1" x14ac:dyDescent="0.2">
      <c r="A69" s="111"/>
      <c r="B69" s="111"/>
      <c r="C69" s="111"/>
      <c r="D69" s="108"/>
      <c r="E69" s="111"/>
      <c r="F69" s="111"/>
      <c r="G69" s="111"/>
      <c r="H69" s="111"/>
      <c r="I69" s="111"/>
    </row>
    <row r="70" spans="1:9" s="115" customFormat="1" ht="18.75" customHeight="1" x14ac:dyDescent="0.2">
      <c r="A70" s="174" t="s">
        <v>97</v>
      </c>
      <c r="B70" s="175"/>
      <c r="C70" s="176"/>
      <c r="D70" s="108"/>
      <c r="E70" s="111"/>
      <c r="F70" s="111"/>
      <c r="G70" s="111"/>
      <c r="H70" s="111"/>
      <c r="I70" s="111"/>
    </row>
    <row r="71" spans="1:9" s="115" customFormat="1" ht="18.75" customHeight="1" x14ac:dyDescent="0.2">
      <c r="A71" s="143"/>
      <c r="B71" s="153"/>
      <c r="C71" s="131"/>
      <c r="D71" s="108"/>
      <c r="E71" s="111"/>
      <c r="F71" s="111"/>
      <c r="G71" s="111"/>
      <c r="H71" s="111"/>
      <c r="I71" s="111"/>
    </row>
    <row r="72" spans="1:9" s="115" customFormat="1" ht="18.75" customHeight="1" x14ac:dyDescent="0.2">
      <c r="A72" s="177" t="s">
        <v>98</v>
      </c>
      <c r="B72" s="178" t="s">
        <v>83</v>
      </c>
      <c r="C72" s="179" t="s">
        <v>84</v>
      </c>
      <c r="D72" s="108" t="s">
        <v>224</v>
      </c>
      <c r="E72" s="111"/>
      <c r="F72" s="111"/>
      <c r="G72" s="111"/>
      <c r="H72" s="111"/>
      <c r="I72" s="111"/>
    </row>
    <row r="73" spans="1:9" s="115" customFormat="1" ht="18.75" customHeight="1" x14ac:dyDescent="0.2">
      <c r="A73" s="201" t="s">
        <v>99</v>
      </c>
      <c r="B73" s="202">
        <f>+B27</f>
        <v>0</v>
      </c>
      <c r="C73" s="203" t="s">
        <v>100</v>
      </c>
      <c r="D73" s="160">
        <f>ROUND(IFERROR((SUM(B27:B28)*Jahreslektion_EA)-IF(C73="Stunden",B73,IF(C73="Jahreslektionen",B73*Jahreslektion_EA)),0),1)</f>
        <v>0</v>
      </c>
      <c r="E73" s="111"/>
      <c r="F73" s="111"/>
      <c r="G73" s="111"/>
      <c r="H73" s="111"/>
      <c r="I73" s="111"/>
    </row>
    <row r="74" spans="1:9" s="115" customFormat="1" ht="18.75" customHeight="1" x14ac:dyDescent="0.2">
      <c r="A74" s="167" t="s">
        <v>92</v>
      </c>
      <c r="B74" s="158"/>
      <c r="C74" s="159" t="s">
        <v>93</v>
      </c>
      <c r="D74" s="160">
        <f>ROUND(D73-IF(C74="Stunden",B74,IF(C74="Jahreslektionen",B74*Jahreslektion_EA)),1)</f>
        <v>0</v>
      </c>
      <c r="E74" s="111"/>
      <c r="F74" s="111"/>
      <c r="G74" s="111"/>
      <c r="H74" s="111"/>
      <c r="I74" s="111"/>
    </row>
    <row r="75" spans="1:9" s="115" customFormat="1" ht="18.75" customHeight="1" x14ac:dyDescent="0.2">
      <c r="A75" s="167" t="s">
        <v>92</v>
      </c>
      <c r="B75" s="158"/>
      <c r="C75" s="159" t="s">
        <v>93</v>
      </c>
      <c r="D75" s="160">
        <f>ROUND(D74-IF(C75="Stunden",B75,IF(C75="Jahreslektionen",B75*Jahreslektion_EA)),1)</f>
        <v>0</v>
      </c>
      <c r="E75" s="111"/>
      <c r="F75" s="111"/>
      <c r="G75" s="111"/>
      <c r="H75" s="111"/>
      <c r="I75" s="111"/>
    </row>
    <row r="76" spans="1:9" s="115" customFormat="1" ht="18.75" customHeight="1" x14ac:dyDescent="0.2">
      <c r="A76" s="167" t="s">
        <v>92</v>
      </c>
      <c r="B76" s="158"/>
      <c r="C76" s="159" t="s">
        <v>93</v>
      </c>
      <c r="D76" s="160">
        <f>ROUND(D75-IF(C76="Stunden",B76,IF(C76="Jahreslektionen",B76*Jahreslektion_EA)),1)</f>
        <v>0</v>
      </c>
      <c r="E76" s="111"/>
      <c r="F76" s="111"/>
      <c r="G76" s="111"/>
      <c r="H76" s="111"/>
      <c r="I76" s="111"/>
    </row>
    <row r="77" spans="1:9" s="115" customFormat="1" ht="18.75" customHeight="1" x14ac:dyDescent="0.2">
      <c r="A77" s="177" t="s">
        <v>101</v>
      </c>
      <c r="B77" s="180">
        <f t="array" ref="B77">IFERROR(SUMPRODUCT(B73:B76,IF(C73:C76="Stunden",1,IF(C73:C76="Jahreslektionen",Jahreslektion))),0)</f>
        <v>0</v>
      </c>
      <c r="C77" s="179" t="s">
        <v>86</v>
      </c>
      <c r="D77" s="108"/>
      <c r="E77" s="181"/>
      <c r="F77" s="111"/>
      <c r="G77" s="111"/>
      <c r="H77" s="111"/>
      <c r="I77" s="111"/>
    </row>
    <row r="78" spans="1:9" s="115" customFormat="1" ht="18.75" customHeight="1" x14ac:dyDescent="0.2">
      <c r="A78" s="111"/>
      <c r="B78" s="111"/>
      <c r="C78" s="111"/>
      <c r="D78" s="108"/>
      <c r="E78" s="111"/>
      <c r="F78" s="111"/>
      <c r="G78" s="111"/>
      <c r="H78" s="111"/>
      <c r="I78" s="111"/>
    </row>
    <row r="79" spans="1:9" s="115" customFormat="1" ht="18.75" customHeight="1" x14ac:dyDescent="0.2">
      <c r="A79" s="177" t="s">
        <v>102</v>
      </c>
      <c r="B79" s="178" t="s">
        <v>83</v>
      </c>
      <c r="C79" s="179" t="s">
        <v>84</v>
      </c>
      <c r="D79" s="108"/>
      <c r="E79" s="111"/>
      <c r="F79" s="111"/>
      <c r="G79" s="111"/>
      <c r="H79" s="111"/>
      <c r="I79" s="111"/>
    </row>
    <row r="80" spans="1:9" s="115" customFormat="1" ht="18.75" customHeight="1" x14ac:dyDescent="0.2">
      <c r="A80" s="167" t="s">
        <v>103</v>
      </c>
      <c r="B80" s="158"/>
      <c r="C80" s="159" t="s">
        <v>93</v>
      </c>
      <c r="D80" s="160">
        <f>ROUND(D76-IF(C80="Stunden",B80,IF(C80="Jahreslektionen",B80*Jahreslektion_EA)),1)</f>
        <v>0</v>
      </c>
      <c r="E80" s="111"/>
      <c r="F80" s="111"/>
      <c r="G80" s="111"/>
      <c r="H80" s="111"/>
      <c r="I80" s="111"/>
    </row>
    <row r="81" spans="1:9" s="115" customFormat="1" ht="18.75" customHeight="1" x14ac:dyDescent="0.2">
      <c r="A81" s="167" t="s">
        <v>103</v>
      </c>
      <c r="B81" s="158"/>
      <c r="C81" s="159" t="s">
        <v>93</v>
      </c>
      <c r="D81" s="160">
        <f>ROUND(D80-IF(C81="Stunden",B81,IF(C81="Jahreslektionen",B81*Jahreslektion_EA)),1)</f>
        <v>0</v>
      </c>
      <c r="E81" s="111"/>
      <c r="F81" s="111"/>
      <c r="G81" s="111"/>
      <c r="H81" s="111"/>
      <c r="I81" s="111"/>
    </row>
    <row r="82" spans="1:9" s="115" customFormat="1" ht="18.75" customHeight="1" x14ac:dyDescent="0.2">
      <c r="A82" s="177" t="s">
        <v>104</v>
      </c>
      <c r="B82" s="180">
        <f t="array" ref="B82">SUMPRODUCT(B80:B81,IF(C80:C81="Stunden",1,IF(C80:C81="Jahreslektionen",Jahreslektion)))</f>
        <v>0</v>
      </c>
      <c r="C82" s="179" t="s">
        <v>86</v>
      </c>
      <c r="D82" s="108"/>
      <c r="E82" s="111"/>
      <c r="F82" s="111"/>
      <c r="G82" s="111"/>
      <c r="H82" s="111"/>
      <c r="I82" s="111"/>
    </row>
    <row r="83" spans="1:9" s="115" customFormat="1" ht="18.75" customHeight="1" x14ac:dyDescent="0.2">
      <c r="A83" s="111"/>
      <c r="B83" s="111"/>
      <c r="C83" s="111"/>
      <c r="D83" s="108"/>
      <c r="E83" s="111"/>
      <c r="F83" s="111"/>
      <c r="G83" s="111"/>
      <c r="H83" s="111"/>
      <c r="I83" s="111"/>
    </row>
    <row r="84" spans="1:9" s="115" customFormat="1" ht="18.75" customHeight="1" x14ac:dyDescent="0.2">
      <c r="A84" s="111"/>
      <c r="B84" s="182" t="s">
        <v>86</v>
      </c>
      <c r="C84" s="182" t="s">
        <v>75</v>
      </c>
      <c r="D84" s="108"/>
      <c r="E84" s="111"/>
      <c r="F84" s="111"/>
      <c r="G84" s="111"/>
      <c r="H84" s="111"/>
      <c r="I84" s="111"/>
    </row>
    <row r="85" spans="1:9" s="115" customFormat="1" ht="18.75" customHeight="1" x14ac:dyDescent="0.2">
      <c r="A85" s="174" t="s">
        <v>105</v>
      </c>
      <c r="B85" s="183">
        <f>SUM(B82,B77)</f>
        <v>0</v>
      </c>
      <c r="C85" s="184">
        <f>IF(B20=0,0,B85/B20)</f>
        <v>0</v>
      </c>
      <c r="D85" s="185"/>
      <c r="E85" s="111"/>
      <c r="F85" s="111"/>
      <c r="G85" s="111"/>
      <c r="H85" s="111"/>
      <c r="I85" s="111"/>
    </row>
    <row r="86" spans="1:9" s="115" customFormat="1" ht="18.75" customHeight="1" x14ac:dyDescent="0.2">
      <c r="A86" s="264" t="str">
        <f>IF(AND($C$87&gt;1.0049999,SUM(B18:B19)&gt;0),"Pensum von 100% wird als überschritten ausgewiesen, da die unbezahlte Abwesenheit rechnerisch im EA1 und EA2 nicht berücksichtigt wird.",IF($C$87&gt;1.0049999,"Information: Anstellungsgrad von 100% überschritten.",""))</f>
        <v/>
      </c>
      <c r="B86" s="111"/>
      <c r="C86" s="186"/>
      <c r="D86" s="108"/>
      <c r="E86" s="111"/>
      <c r="F86" s="111"/>
      <c r="G86" s="111"/>
      <c r="H86" s="111"/>
      <c r="I86" s="111"/>
    </row>
    <row r="87" spans="1:9" s="115" customFormat="1" ht="18.75" customHeight="1" x14ac:dyDescent="0.2">
      <c r="A87" s="187" t="s">
        <v>106</v>
      </c>
      <c r="B87" s="188">
        <f>B85+B29</f>
        <v>0</v>
      </c>
      <c r="C87" s="189">
        <f>C29+C85</f>
        <v>0</v>
      </c>
      <c r="D87" s="185"/>
      <c r="E87" s="111"/>
      <c r="F87" s="111"/>
      <c r="G87" s="111"/>
      <c r="H87" s="111"/>
      <c r="I87" s="111"/>
    </row>
    <row r="88" spans="1:9" s="115" customFormat="1" ht="18.75" customHeight="1" x14ac:dyDescent="0.2">
      <c r="A88" s="129"/>
      <c r="B88" s="129"/>
      <c r="C88" s="129"/>
      <c r="D88" s="190"/>
      <c r="E88" s="111"/>
      <c r="F88" s="111"/>
      <c r="G88" s="111"/>
      <c r="H88" s="111"/>
      <c r="I88" s="111"/>
    </row>
    <row r="89" spans="1:9" s="115" customFormat="1" ht="18.75" customHeight="1" x14ac:dyDescent="0.2">
      <c r="A89" s="191" t="s">
        <v>81</v>
      </c>
      <c r="B89" s="192"/>
      <c r="C89" s="192"/>
      <c r="D89" s="108"/>
      <c r="E89" s="111"/>
      <c r="F89" s="111"/>
      <c r="G89" s="111"/>
      <c r="H89" s="111"/>
      <c r="I89" s="111"/>
    </row>
    <row r="90" spans="1:9" s="173" customFormat="1" ht="18.75" customHeight="1" x14ac:dyDescent="0.2">
      <c r="A90" s="193" t="s">
        <v>107</v>
      </c>
      <c r="B90" s="194"/>
      <c r="C90" s="194"/>
      <c r="D90" s="108"/>
      <c r="E90" s="130"/>
      <c r="F90" s="130"/>
      <c r="G90" s="130"/>
      <c r="H90" s="130"/>
      <c r="I90" s="130"/>
    </row>
    <row r="91" spans="1:9" s="115" customFormat="1" ht="18.75" customHeight="1" x14ac:dyDescent="0.2">
      <c r="A91" s="195" t="s">
        <v>108</v>
      </c>
      <c r="B91" s="196" t="s">
        <v>109</v>
      </c>
      <c r="C91" s="196"/>
      <c r="D91" s="108"/>
      <c r="E91" s="111"/>
      <c r="F91" s="111"/>
      <c r="G91" s="111"/>
      <c r="H91" s="111"/>
      <c r="I91" s="111"/>
    </row>
    <row r="92" spans="1:9" s="115" customFormat="1" ht="18.75" customHeight="1" x14ac:dyDescent="0.2">
      <c r="A92" s="111"/>
      <c r="B92" s="111"/>
      <c r="C92" s="111"/>
      <c r="D92" s="197"/>
    </row>
  </sheetData>
  <sheetProtection sheet="1" objects="1" scenarios="1"/>
  <mergeCells count="6">
    <mergeCell ref="B11:C11"/>
    <mergeCell ref="B4:C4"/>
    <mergeCell ref="B5:C5"/>
    <mergeCell ref="B6:C6"/>
    <mergeCell ref="B9:C9"/>
    <mergeCell ref="B10:C10"/>
  </mergeCells>
  <conditionalFormatting sqref="B11">
    <cfRule type="expression" dxfId="35" priority="76">
      <formula>$B$11=""</formula>
    </cfRule>
  </conditionalFormatting>
  <conditionalFormatting sqref="D36:D56">
    <cfRule type="expression" dxfId="34" priority="74">
      <formula>AND(D36&lt;-0.05,D36&lt;&gt;-16.8)</formula>
    </cfRule>
  </conditionalFormatting>
  <conditionalFormatting sqref="D64">
    <cfRule type="expression" dxfId="33" priority="73">
      <formula>D64&lt;0</formula>
    </cfRule>
  </conditionalFormatting>
  <conditionalFormatting sqref="D59:D63">
    <cfRule type="expression" dxfId="32" priority="71">
      <formula>AND(D59&lt;-0.05,D36&lt;&gt;-16.8)</formula>
    </cfRule>
  </conditionalFormatting>
  <conditionalFormatting sqref="D73">
    <cfRule type="expression" dxfId="31" priority="70">
      <formula>D73&lt;-0.05</formula>
    </cfRule>
  </conditionalFormatting>
  <conditionalFormatting sqref="D74:D76">
    <cfRule type="expression" dxfId="30" priority="69">
      <formula>D74&lt;-0.05</formula>
    </cfRule>
  </conditionalFormatting>
  <conditionalFormatting sqref="D80">
    <cfRule type="expression" dxfId="29" priority="67">
      <formula>D80&lt;-0.05</formula>
    </cfRule>
  </conditionalFormatting>
  <conditionalFormatting sqref="D81">
    <cfRule type="expression" dxfId="28" priority="66">
      <formula>D81&lt;-0.05</formula>
    </cfRule>
  </conditionalFormatting>
  <conditionalFormatting sqref="C87">
    <cfRule type="cellIs" dxfId="27" priority="55" operator="greaterThan">
      <formula>1.00499999</formula>
    </cfRule>
  </conditionalFormatting>
  <conditionalFormatting sqref="A59:A63">
    <cfRule type="expression" dxfId="26" priority="46">
      <formula>$A59="Bitte angeben"</formula>
    </cfRule>
  </conditionalFormatting>
  <conditionalFormatting sqref="A45">
    <cfRule type="expression" dxfId="25" priority="42">
      <formula>$A45="Mögliche Auswahl"</formula>
    </cfRule>
  </conditionalFormatting>
  <conditionalFormatting sqref="C41:C44">
    <cfRule type="expression" dxfId="24" priority="39">
      <formula>OR($A41="",$A41="Mögliche Auswahl",$A41="Bitte angeben")</formula>
    </cfRule>
  </conditionalFormatting>
  <conditionalFormatting sqref="C59:C63">
    <cfRule type="expression" dxfId="23" priority="38">
      <formula>OR($A59="",$A59="Mögliche Auswahl",$A59="Bitte angeben")</formula>
    </cfRule>
  </conditionalFormatting>
  <conditionalFormatting sqref="C73:C76">
    <cfRule type="expression" dxfId="22" priority="37">
      <formula>OR($A73="",$A73="Mögliche Auswahl",$A73="Bitte angeben")</formula>
    </cfRule>
  </conditionalFormatting>
  <conditionalFormatting sqref="C80:C81">
    <cfRule type="expression" dxfId="21" priority="36">
      <formula>OR($A80="",$A80="Mögliche Auswahl",$A80="Bitte angeben")</formula>
    </cfRule>
  </conditionalFormatting>
  <conditionalFormatting sqref="A80:A81">
    <cfRule type="expression" dxfId="20" priority="35">
      <formula>$A80="Bitte angeben"</formula>
    </cfRule>
  </conditionalFormatting>
  <conditionalFormatting sqref="A76">
    <cfRule type="expression" dxfId="19" priority="34">
      <formula>$A76="Mögliche Auswahl"</formula>
    </cfRule>
  </conditionalFormatting>
  <conditionalFormatting sqref="E3:G5 H3 E6:H7">
    <cfRule type="expression" dxfId="18" priority="31">
      <formula>AND($E3="",$E2="")</formula>
    </cfRule>
  </conditionalFormatting>
  <conditionalFormatting sqref="E4:G5 E6:H7">
    <cfRule type="expression" dxfId="17" priority="30">
      <formula>AND($E4="",$E3&lt;&gt;"")</formula>
    </cfRule>
  </conditionalFormatting>
  <conditionalFormatting sqref="F3:H3">
    <cfRule type="expression" dxfId="16" priority="28">
      <formula>AND($E3="",$E2&lt;&gt;"")</formula>
    </cfRule>
  </conditionalFormatting>
  <conditionalFormatting sqref="C37:C40">
    <cfRule type="expression" dxfId="15" priority="22">
      <formula>OR($A37="",$A37="Mögliche Auswahl",$A37="Bitte angeben")</formula>
    </cfRule>
  </conditionalFormatting>
  <conditionalFormatting sqref="A75">
    <cfRule type="expression" dxfId="14" priority="18">
      <formula>$A75="Mögliche Auswahl"</formula>
    </cfRule>
  </conditionalFormatting>
  <conditionalFormatting sqref="A37:A44">
    <cfRule type="expression" dxfId="13" priority="17">
      <formula>$A37="Mögliche Auswahl"</formula>
    </cfRule>
  </conditionalFormatting>
  <conditionalFormatting sqref="A73">
    <cfRule type="expression" dxfId="12" priority="16">
      <formula>$A73="Mögliche Auswahl"</formula>
    </cfRule>
  </conditionalFormatting>
  <conditionalFormatting sqref="B85">
    <cfRule type="expression" dxfId="11" priority="79">
      <formula>ABS($D$81)&gt;0.1</formula>
    </cfRule>
  </conditionalFormatting>
  <conditionalFormatting sqref="H4:H5">
    <cfRule type="expression" dxfId="10" priority="15">
      <formula>AND($E4="",$E3="")</formula>
    </cfRule>
  </conditionalFormatting>
  <conditionalFormatting sqref="H4:H5">
    <cfRule type="expression" dxfId="9" priority="14">
      <formula>AND($E4="",$E3&lt;&gt;"")</formula>
    </cfRule>
  </conditionalFormatting>
  <conditionalFormatting sqref="A74">
    <cfRule type="expression" dxfId="8" priority="10">
      <formula>$A74="Mögliche Auswahl"</formula>
    </cfRule>
  </conditionalFormatting>
  <conditionalFormatting sqref="A46:A55">
    <cfRule type="expression" dxfId="7" priority="6">
      <formula>$A46="Mögliche Auswahl"</formula>
    </cfRule>
  </conditionalFormatting>
  <conditionalFormatting sqref="C45:C55">
    <cfRule type="expression" dxfId="6" priority="4">
      <formula>OR($A45="",$A45="Mögliche Auswahl",$A45="Bitte angeben")</formula>
    </cfRule>
  </conditionalFormatting>
  <conditionalFormatting sqref="C36">
    <cfRule type="expression" dxfId="5" priority="3">
      <formula>OR($A36="",$A36="Mögliche Auswahl",$A36="Bitte angeben")</formula>
    </cfRule>
  </conditionalFormatting>
  <conditionalFormatting sqref="A36">
    <cfRule type="expression" dxfId="4" priority="2">
      <formula>$A36="Mögliche Auswahl"</formula>
    </cfRule>
  </conditionalFormatting>
  <conditionalFormatting sqref="A86">
    <cfRule type="containsText" dxfId="3" priority="1" operator="containsText" text="Pensum von 100% wird als überschritten ausgewiesen, da die unbezahlte Abwesenheit rechnerisch im EA1 und EA2 nicht berücksichtigt wird.">
      <formula>NOT(ISERROR(SEARCH("Pensum von 100% wird als überschritten ausgewiesen, da die unbezahlte Abwesenheit rechnerisch im EA1 und EA2 nicht berücksichtigt wird.",A86)))</formula>
    </cfRule>
  </conditionalFormatting>
  <dataValidations count="8">
    <dataValidation type="list" allowBlank="1" showInputMessage="1" showErrorMessage="1" sqref="B4:C4" xr:uid="{00000000-0002-0000-0300-000000000000}">
      <formula1>DD_Schulstufen</formula1>
    </dataValidation>
    <dataValidation allowBlank="1" showInputMessage="1" sqref="A80:A81 A59:A63" xr:uid="{00000000-0002-0000-0300-000001000000}"/>
    <dataValidation type="list" allowBlank="1" showInputMessage="1" sqref="A73" xr:uid="{00000000-0002-0000-0300-000002000000}">
      <formula1>IF(OR($B$4="Psychomotorik und Logopädie",$B$4="Musikschule"),"",IF($B$4="Berufsfachschulen und schulische Module Brückenangebote",EA1_SekII_BFS,IF($B$4="Primarschule",EA1_PS,IF($B$4="Sekundarschule",EA1_SekI,EA1_SekII))))</formula1>
    </dataValidation>
    <dataValidation type="list" allowBlank="1" showInputMessage="1" showErrorMessage="1" sqref="C74:C76 C80:C81 C59:C63 C36:C55" xr:uid="{00000000-0002-0000-0300-000003000000}">
      <formula1>"Stunden,Jahreslektionen"</formula1>
    </dataValidation>
    <dataValidation type="list" allowBlank="1" showInputMessage="1" sqref="A36:A55" xr:uid="{00000000-0002-0000-0300-000004000000}">
      <formula1>DD_Bereich_C</formula1>
    </dataValidation>
    <dataValidation type="date" operator="greaterThan" allowBlank="1" showInputMessage="1" showErrorMessage="1" sqref="B11:C11" xr:uid="{00000000-0002-0000-0300-000005000000}">
      <formula1>366</formula1>
    </dataValidation>
    <dataValidation type="list" allowBlank="1" showInputMessage="1" sqref="A74:A76" xr:uid="{00000000-0002-0000-0300-000006000000}">
      <formula1>IF($B$4="Psychomotorik und Logopädie","",IF($B$4="Berufsfachschulen und schulische Module Brückenangebote",EA1_SekII_BFS,IF($B$4="Primarschule",EA1_PS,IF($B$4="Kindergarten",EA1_KG,IF($B$4="Sekundarschule",EA1_SekI,EA1_SekII)))))</formula1>
    </dataValidation>
    <dataValidation type="decimal" allowBlank="1" showInputMessage="1" showErrorMessage="1" sqref="B26:B28" xr:uid="{00000000-0002-0000-0300-000007000000}">
      <formula1>0.001</formula1>
      <formula2>100</formula2>
    </dataValidation>
  </dataValidations>
  <pageMargins left="0.7" right="0.7" top="0.78740157499999996" bottom="0.78740157499999996" header="0.3" footer="0.3"/>
  <pageSetup paperSize="9" scale="66" orientation="portrait" r:id="rId1"/>
  <rowBreaks count="1" manualBreakCount="1">
    <brk id="32" max="16383" man="1"/>
  </rowBreak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9" id="{7AB7A86F-BA07-44E6-90B9-CF3B6E46F874}">
            <xm:f>IFERROR(HLOOKUP($B$4,Dropdowns!$G$1:$I$1,1,0),TRUE)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E2:E7 E2:G3 I2:I3 H3</xm:sqref>
        </x14:conditionalFormatting>
        <x14:conditionalFormatting xmlns:xm="http://schemas.microsoft.com/office/excel/2006/main">
          <x14:cfRule type="expression" priority="27" id="{7FA80C36-D6B7-43C9-8BDA-0AC705286A4A}">
            <xm:f>IFERROR(HLOOKUP($B$4,Dropdowns!$G$1:$I$1,1,0),TRUE)</xm:f>
            <x14:dxf>
              <font>
                <color theme="0"/>
              </font>
            </x14:dxf>
          </x14:cfRule>
          <xm:sqref>D26:D28</xm:sqref>
        </x14:conditionalFormatting>
        <x14:conditionalFormatting xmlns:xm="http://schemas.microsoft.com/office/excel/2006/main">
          <x14:cfRule type="expression" priority="11" id="{264F5F38-99DE-44F7-ABD7-50456BF69CF4}">
            <xm:f>IFERROR(HLOOKUP($B$4,Dropdowns!$G$1:$I$1,1,0),TRUE)</xm:f>
            <x14:dxf>
              <font>
                <color theme="0"/>
              </font>
              <fill>
                <patternFill>
                  <bgColor theme="0"/>
                </patternFill>
              </fill>
              <border>
                <left/>
                <right/>
                <top/>
                <bottom/>
              </border>
            </x14:dxf>
          </x14:cfRule>
          <xm:sqref>H2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300-000008000000}">
          <x14:formula1>
            <xm:f>OFFSET(Dropdowns!$G$1,1,MATCH(B4,Dropdowns!$G$1:$I$1,0)-1,COUNT(OFFSET(Dropdowns!$G$1,1,MATCH(B4,Dropdowns!$G$1:$I$1,0)-1,4,1)),1)</xm:f>
          </x14:formula1>
          <xm:sqref>D4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51BA141C3839A489E33106E4EBCAB42" ma:contentTypeVersion="2" ma:contentTypeDescription="Ein neues Dokument erstellen." ma:contentTypeScope="" ma:versionID="0ca7b5c32761bd1a3e1688101a1d05eb">
  <xsd:schema xmlns:xsd="http://www.w3.org/2001/XMLSchema" xmlns:xs="http://www.w3.org/2001/XMLSchema" xmlns:p="http://schemas.microsoft.com/office/2006/metadata/properties" xmlns:ns2="051c46fa-c3eb-4280-9fec-0d53d9daabcd" targetNamespace="http://schemas.microsoft.com/office/2006/metadata/properties" ma:root="true" ma:fieldsID="d73f27199887834b22729cb93c429d40" ns2:_="">
    <xsd:import namespace="051c46fa-c3eb-4280-9fec-0d53d9daabc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1c46fa-c3eb-4280-9fec-0d53d9daabc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Freigegeben für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Freigegeben für -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852DB66-D8C6-487B-B8CD-021B746CD873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051c46fa-c3eb-4280-9fec-0d53d9daabcd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F82FA88-AA48-40EF-8A74-DDAD57705CF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51c46fa-c3eb-4280-9fec-0d53d9daab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33ED07A-C6F3-4A8D-B636-F0669A34BA1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55</vt:i4>
      </vt:variant>
    </vt:vector>
  </HeadingPairs>
  <TitlesOfParts>
    <vt:vector size="56" baseType="lpstr">
      <vt:lpstr>Aufgabenplanung</vt:lpstr>
      <vt:lpstr>BA_CDE1</vt:lpstr>
      <vt:lpstr>BA_CDE10</vt:lpstr>
      <vt:lpstr>BA_CDE11</vt:lpstr>
      <vt:lpstr>BA_CDE12</vt:lpstr>
      <vt:lpstr>BA_CDE13</vt:lpstr>
      <vt:lpstr>BA_CDE14</vt:lpstr>
      <vt:lpstr>BA_CDE15</vt:lpstr>
      <vt:lpstr>BA_CDE2</vt:lpstr>
      <vt:lpstr>BA_CDE3</vt:lpstr>
      <vt:lpstr>BA_CDE4</vt:lpstr>
      <vt:lpstr>BA_CDE5</vt:lpstr>
      <vt:lpstr>BA_CDE6</vt:lpstr>
      <vt:lpstr>BA_CDE7</vt:lpstr>
      <vt:lpstr>BA_CDE8</vt:lpstr>
      <vt:lpstr>BA_CDE9</vt:lpstr>
      <vt:lpstr>BA_EA1</vt:lpstr>
      <vt:lpstr>BA_EA2</vt:lpstr>
      <vt:lpstr>BA_EA3</vt:lpstr>
      <vt:lpstr>BA_EA4</vt:lpstr>
      <vt:lpstr>BA_EA5</vt:lpstr>
      <vt:lpstr>BA_EA6</vt:lpstr>
      <vt:lpstr>Data_Feiertage</vt:lpstr>
      <vt:lpstr>Data_Feiertage_halb</vt:lpstr>
      <vt:lpstr>Data_Schulferien</vt:lpstr>
      <vt:lpstr>DD_Bereich_C</vt:lpstr>
      <vt:lpstr>DD_Bereich_C_MS</vt:lpstr>
      <vt:lpstr>DD_Schulstufen</vt:lpstr>
      <vt:lpstr>Aufgabenplanung!Druckbereich</vt:lpstr>
      <vt:lpstr>EA1_Gym</vt:lpstr>
      <vt:lpstr>EA1_KG</vt:lpstr>
      <vt:lpstr>EA1_PS</vt:lpstr>
      <vt:lpstr>EA1_SekI</vt:lpstr>
      <vt:lpstr>EA1_SekII</vt:lpstr>
      <vt:lpstr>EA1_SekII_BFS</vt:lpstr>
      <vt:lpstr>FH</vt:lpstr>
      <vt:lpstr>FT</vt:lpstr>
      <vt:lpstr>Jahreslektion</vt:lpstr>
      <vt:lpstr>Jahreslektion_EA</vt:lpstr>
      <vt:lpstr>NR</vt:lpstr>
      <vt:lpstr>Param1</vt:lpstr>
      <vt:lpstr>Param10</vt:lpstr>
      <vt:lpstr>Param2</vt:lpstr>
      <vt:lpstr>Param3</vt:lpstr>
      <vt:lpstr>Param4</vt:lpstr>
      <vt:lpstr>Param5</vt:lpstr>
      <vt:lpstr>Param6</vt:lpstr>
      <vt:lpstr>Param7</vt:lpstr>
      <vt:lpstr>Param8</vt:lpstr>
      <vt:lpstr>Param9</vt:lpstr>
      <vt:lpstr>Schuljahr</vt:lpstr>
      <vt:lpstr>Schuljahre</vt:lpstr>
      <vt:lpstr>SF</vt:lpstr>
      <vt:lpstr>Soll_Arbeitszeit_23_24</vt:lpstr>
      <vt:lpstr>UU</vt:lpstr>
      <vt:lpstr>WE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Office-Anwender</dc:creator>
  <cp:keywords/>
  <dc:description/>
  <cp:lastModifiedBy>Schiegg, Michael (AVS)</cp:lastModifiedBy>
  <cp:revision/>
  <dcterms:created xsi:type="dcterms:W3CDTF">2017-09-28T13:10:34Z</dcterms:created>
  <dcterms:modified xsi:type="dcterms:W3CDTF">2025-09-01T07:48:19Z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0x010100551BA141C3839A489E33106E4EBCAB42</vt:lpwstr>
  </property>
</Properties>
</file>